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 activeTab="4"/>
  </bookViews>
  <sheets>
    <sheet name="Investment cost" sheetId="1" r:id="rId1"/>
    <sheet name="Annual cost" sheetId="4" r:id="rId2"/>
    <sheet name="Cash flow analysis" sheetId="3" r:id="rId3"/>
    <sheet name="Annualization" sheetId="2" r:id="rId4"/>
    <sheet name="Econ Anal" sheetId="5" r:id="rId5"/>
  </sheets>
  <calcPr calcId="125725"/>
</workbook>
</file>

<file path=xl/calcChain.xml><?xml version="1.0" encoding="utf-8"?>
<calcChain xmlns="http://schemas.openxmlformats.org/spreadsheetml/2006/main">
  <c r="K4" i="5"/>
  <c r="L4"/>
  <c r="M4"/>
  <c r="E7"/>
  <c r="G7"/>
  <c r="G12" s="1"/>
  <c r="M5" s="1"/>
  <c r="F8"/>
  <c r="J10"/>
  <c r="E11"/>
  <c r="J11"/>
  <c r="E12"/>
  <c r="K5" s="1"/>
  <c r="F12"/>
  <c r="L5" s="1"/>
  <c r="J12"/>
  <c r="J13"/>
  <c r="J14"/>
  <c r="E15"/>
  <c r="E13" s="1"/>
  <c r="J15"/>
  <c r="J16"/>
  <c r="E17"/>
  <c r="K6" s="1"/>
  <c r="F17"/>
  <c r="L6" s="1"/>
  <c r="G17"/>
  <c r="M6" s="1"/>
  <c r="J17"/>
  <c r="E21"/>
  <c r="F21" s="1"/>
  <c r="G21"/>
  <c r="E22"/>
  <c r="F22"/>
  <c r="G22"/>
  <c r="N22"/>
  <c r="E23"/>
  <c r="F23"/>
  <c r="G23"/>
  <c r="E24"/>
  <c r="F24" s="1"/>
  <c r="G24"/>
  <c r="E25"/>
  <c r="F25" s="1"/>
  <c r="G25"/>
  <c r="E26"/>
  <c r="F26" s="1"/>
  <c r="G26"/>
  <c r="E27"/>
  <c r="F27"/>
  <c r="G27"/>
  <c r="E28"/>
  <c r="F28" s="1"/>
  <c r="G28"/>
  <c r="K15" l="1"/>
  <c r="K16"/>
  <c r="K11"/>
  <c r="K13"/>
  <c r="K14"/>
  <c r="K17"/>
  <c r="K10"/>
  <c r="K12"/>
  <c r="L15"/>
  <c r="L16"/>
  <c r="L11"/>
  <c r="L13"/>
  <c r="L14"/>
  <c r="L17"/>
  <c r="L10"/>
  <c r="L12"/>
  <c r="M11"/>
  <c r="M13"/>
  <c r="M14"/>
  <c r="M17"/>
  <c r="M10"/>
  <c r="M12"/>
  <c r="M15"/>
  <c r="M16"/>
  <c r="I13" i="4" l="1"/>
  <c r="I12"/>
  <c r="I11"/>
  <c r="H16"/>
  <c r="C15"/>
  <c r="C12"/>
  <c r="C13"/>
  <c r="C11"/>
  <c r="J14"/>
  <c r="J16" s="1"/>
  <c r="L12"/>
  <c r="L13"/>
  <c r="L15"/>
  <c r="L11"/>
  <c r="F12"/>
  <c r="F13"/>
  <c r="F15"/>
  <c r="M15" s="1"/>
  <c r="F11"/>
  <c r="AH31"/>
  <c r="AH30"/>
  <c r="AG29"/>
  <c r="AH29" s="1"/>
  <c r="AF29"/>
  <c r="AD29" s="1"/>
  <c r="AH28"/>
  <c r="AF27"/>
  <c r="AG27" s="1"/>
  <c r="AH27" s="1"/>
  <c r="AF26"/>
  <c r="AG26" s="1"/>
  <c r="AH26" s="1"/>
  <c r="AG25"/>
  <c r="AH25" s="1"/>
  <c r="AF25"/>
  <c r="AD25" s="1"/>
  <c r="AF24"/>
  <c r="AG24" s="1"/>
  <c r="AH24" s="1"/>
  <c r="AF23"/>
  <c r="AG23" s="1"/>
  <c r="AH23" s="1"/>
  <c r="AF22"/>
  <c r="AG22" s="1"/>
  <c r="AH22" s="1"/>
  <c r="AF21"/>
  <c r="AD21" s="1"/>
  <c r="AF20"/>
  <c r="AG20" s="1"/>
  <c r="AH20" s="1"/>
  <c r="AF19"/>
  <c r="AG19" s="1"/>
  <c r="AH19" s="1"/>
  <c r="AD19"/>
  <c r="AH18"/>
  <c r="AG17"/>
  <c r="AH17" s="1"/>
  <c r="AF17"/>
  <c r="AD17" s="1"/>
  <c r="AH16"/>
  <c r="AH14"/>
  <c r="AH13"/>
  <c r="C3" i="1"/>
  <c r="C9"/>
  <c r="C8"/>
  <c r="C7"/>
  <c r="C11"/>
  <c r="AE20" i="4" l="1"/>
  <c r="AD20"/>
  <c r="M11"/>
  <c r="AE23"/>
  <c r="AD23"/>
  <c r="M12"/>
  <c r="I16"/>
  <c r="M13"/>
  <c r="AE24"/>
  <c r="AE27"/>
  <c r="AD24"/>
  <c r="AD27"/>
  <c r="AE19"/>
  <c r="AG21"/>
  <c r="AH21" s="1"/>
  <c r="AH32" s="1"/>
  <c r="AI32" s="1"/>
  <c r="AI33" s="1"/>
  <c r="AE17"/>
  <c r="AE21"/>
  <c r="AD22"/>
  <c r="AE25"/>
  <c r="AD26"/>
  <c r="AE29"/>
  <c r="AE22"/>
  <c r="AE26"/>
  <c r="D22" i="3"/>
  <c r="B21"/>
  <c r="C20"/>
  <c r="B18"/>
  <c r="C19"/>
  <c r="G13"/>
  <c r="H13"/>
  <c r="I13"/>
  <c r="J13"/>
  <c r="K13"/>
  <c r="L13"/>
  <c r="M13"/>
  <c r="N13"/>
  <c r="O13"/>
  <c r="P13"/>
  <c r="Q13"/>
  <c r="R13"/>
  <c r="F13"/>
  <c r="G15"/>
  <c r="H15"/>
  <c r="I15"/>
  <c r="J15"/>
  <c r="K15"/>
  <c r="L15"/>
  <c r="M15"/>
  <c r="N15"/>
  <c r="O15"/>
  <c r="P15"/>
  <c r="Q15"/>
  <c r="R15"/>
  <c r="F15"/>
  <c r="F14" s="1"/>
  <c r="D14"/>
  <c r="D23" s="1"/>
  <c r="D13"/>
  <c r="E9"/>
  <c r="F9" s="1"/>
  <c r="G9" s="1"/>
  <c r="H9" s="1"/>
  <c r="I9" s="1"/>
  <c r="J9" s="1"/>
  <c r="K9" s="1"/>
  <c r="L9" s="1"/>
  <c r="M9" s="1"/>
  <c r="N9" s="1"/>
  <c r="O9" s="1"/>
  <c r="P9" s="1"/>
  <c r="Q9" s="1"/>
  <c r="R9" s="1"/>
  <c r="G19"/>
  <c r="H19" s="1"/>
  <c r="I19" s="1"/>
  <c r="J19" s="1"/>
  <c r="K19" s="1"/>
  <c r="L19" s="1"/>
  <c r="M19" s="1"/>
  <c r="N19" s="1"/>
  <c r="O19" s="1"/>
  <c r="P19" s="1"/>
  <c r="Q19" s="1"/>
  <c r="R19" s="1"/>
  <c r="F21"/>
  <c r="G22"/>
  <c r="H22" s="1"/>
  <c r="G20"/>
  <c r="H20"/>
  <c r="I20"/>
  <c r="J20"/>
  <c r="K20"/>
  <c r="L20"/>
  <c r="M20"/>
  <c r="N20"/>
  <c r="O20"/>
  <c r="P20"/>
  <c r="Q20"/>
  <c r="R20"/>
  <c r="F20"/>
  <c r="D20"/>
  <c r="F8"/>
  <c r="G8" s="1"/>
  <c r="H8" s="1"/>
  <c r="I8" s="1"/>
  <c r="J8" s="1"/>
  <c r="K8" s="1"/>
  <c r="L8" s="1"/>
  <c r="M8" s="1"/>
  <c r="N8" s="1"/>
  <c r="O8" s="1"/>
  <c r="P8" s="1"/>
  <c r="Q8" s="1"/>
  <c r="R8" s="1"/>
  <c r="G7" i="1"/>
  <c r="E16" i="3" s="1"/>
  <c r="E23" s="1"/>
  <c r="G8" i="1"/>
  <c r="G11"/>
  <c r="G9"/>
  <c r="AC10"/>
  <c r="AC12"/>
  <c r="AC14"/>
  <c r="AC24"/>
  <c r="AC26"/>
  <c r="AC27"/>
  <c r="AC9"/>
  <c r="Z13"/>
  <c r="AA13"/>
  <c r="Y13" s="1"/>
  <c r="AA15"/>
  <c r="Y15" s="1"/>
  <c r="AA16"/>
  <c r="Y16" s="1"/>
  <c r="AA17"/>
  <c r="Y17" s="1"/>
  <c r="AA18"/>
  <c r="Y18" s="1"/>
  <c r="AA19"/>
  <c r="Y19" s="1"/>
  <c r="AA20"/>
  <c r="Y20" s="1"/>
  <c r="AA21"/>
  <c r="Y21" s="1"/>
  <c r="Z22"/>
  <c r="AA22"/>
  <c r="Y22" s="1"/>
  <c r="AA23"/>
  <c r="Y23" s="1"/>
  <c r="AA25"/>
  <c r="Y25" s="1"/>
  <c r="AB22"/>
  <c r="AC22" s="1"/>
  <c r="AB18"/>
  <c r="AC18" s="1"/>
  <c r="AB16"/>
  <c r="AC16" s="1"/>
  <c r="AB15"/>
  <c r="AC15" s="1"/>
  <c r="AB13"/>
  <c r="AC13" s="1"/>
  <c r="C10"/>
  <c r="G10" l="1"/>
  <c r="C14" i="4"/>
  <c r="K14" s="1"/>
  <c r="F5" i="3"/>
  <c r="G14"/>
  <c r="G21"/>
  <c r="H21"/>
  <c r="I22"/>
  <c r="H14"/>
  <c r="F18"/>
  <c r="H18"/>
  <c r="F11"/>
  <c r="G11"/>
  <c r="I18"/>
  <c r="G18"/>
  <c r="Q18"/>
  <c r="O18"/>
  <c r="M18"/>
  <c r="K18"/>
  <c r="R18"/>
  <c r="P18"/>
  <c r="N18"/>
  <c r="L18"/>
  <c r="J18"/>
  <c r="H11"/>
  <c r="AB20" i="1"/>
  <c r="AC20" s="1"/>
  <c r="Z18"/>
  <c r="AB25"/>
  <c r="AC25" s="1"/>
  <c r="Z25"/>
  <c r="Z20"/>
  <c r="Z16"/>
  <c r="AB17"/>
  <c r="AC17" s="1"/>
  <c r="AB19"/>
  <c r="AC19" s="1"/>
  <c r="AB21"/>
  <c r="AC21" s="1"/>
  <c r="AB23"/>
  <c r="AC23" s="1"/>
  <c r="Z23"/>
  <c r="Z21"/>
  <c r="Z19"/>
  <c r="Z17"/>
  <c r="Z15"/>
  <c r="L14" i="4" l="1"/>
  <c r="L16" s="1"/>
  <c r="F14"/>
  <c r="G12" i="1"/>
  <c r="C4" i="2" s="1"/>
  <c r="C8" s="1"/>
  <c r="C9" s="1"/>
  <c r="K16" i="4"/>
  <c r="F23" i="3"/>
  <c r="H23"/>
  <c r="J22"/>
  <c r="I21"/>
  <c r="I14"/>
  <c r="G23"/>
  <c r="I11"/>
  <c r="AC28" i="1"/>
  <c r="AD28" s="1"/>
  <c r="AD29" s="1"/>
  <c r="H10" l="1"/>
  <c r="H11"/>
  <c r="H9"/>
  <c r="H8"/>
  <c r="H12"/>
  <c r="H7"/>
  <c r="F16" i="4"/>
  <c r="M14"/>
  <c r="M16" s="1"/>
  <c r="K22" i="3"/>
  <c r="J21"/>
  <c r="J14"/>
  <c r="I23"/>
  <c r="J11"/>
  <c r="F17" i="4" l="1"/>
  <c r="W4" s="1"/>
  <c r="M17"/>
  <c r="J17"/>
  <c r="W6" s="1"/>
  <c r="I17"/>
  <c r="W5" s="1"/>
  <c r="K17"/>
  <c r="W7" s="1"/>
  <c r="L17"/>
  <c r="W8" s="1"/>
  <c r="J23" i="3"/>
  <c r="L22"/>
  <c r="K21"/>
  <c r="K14"/>
  <c r="K11"/>
  <c r="K23" l="1"/>
  <c r="M22"/>
  <c r="L21"/>
  <c r="L14"/>
  <c r="L11"/>
  <c r="N22" l="1"/>
  <c r="M21"/>
  <c r="L23"/>
  <c r="M14"/>
  <c r="M11"/>
  <c r="O22" l="1"/>
  <c r="N21"/>
  <c r="N14"/>
  <c r="M23"/>
  <c r="N11"/>
  <c r="N23" l="1"/>
  <c r="P22"/>
  <c r="O21"/>
  <c r="O14"/>
  <c r="O11"/>
  <c r="O23" l="1"/>
  <c r="Q22"/>
  <c r="P21"/>
  <c r="P14"/>
  <c r="P11"/>
  <c r="P23" l="1"/>
  <c r="R22"/>
  <c r="R21" s="1"/>
  <c r="Q21"/>
  <c r="R14"/>
  <c r="Q14"/>
  <c r="Q11"/>
  <c r="R11"/>
  <c r="R23" l="1"/>
  <c r="Q23"/>
  <c r="E24" l="1"/>
</calcChain>
</file>

<file path=xl/comments1.xml><?xml version="1.0" encoding="utf-8"?>
<comments xmlns="http://schemas.openxmlformats.org/spreadsheetml/2006/main">
  <authors>
    <author>Nuorkivi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Nuorkivi:</t>
        </r>
        <r>
          <rPr>
            <sz val="9"/>
            <color indexed="81"/>
            <rFont val="Tahoma"/>
            <family val="2"/>
          </rPr>
          <t xml:space="preserve">
50% as back up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Nuorkivi:</t>
        </r>
        <r>
          <rPr>
            <sz val="9"/>
            <color indexed="81"/>
            <rFont val="Tahoma"/>
            <family val="2"/>
          </rPr>
          <t xml:space="preserve">
kompressori- lämpöpumppu per rakennus</t>
        </r>
      </text>
    </comment>
  </commentList>
</comments>
</file>

<file path=xl/sharedStrings.xml><?xml version="1.0" encoding="utf-8"?>
<sst xmlns="http://schemas.openxmlformats.org/spreadsheetml/2006/main" count="154" uniqueCount="95">
  <si>
    <t>MW</t>
  </si>
  <si>
    <t>€/m</t>
  </si>
  <si>
    <t>GWh</t>
  </si>
  <si>
    <t>km</t>
  </si>
  <si>
    <t>€/kW</t>
  </si>
  <si>
    <t>M€</t>
  </si>
  <si>
    <t>Size</t>
  </si>
  <si>
    <t>Total</t>
  </si>
  <si>
    <t>DN</t>
  </si>
  <si>
    <t>m</t>
  </si>
  <si>
    <t>€</t>
  </si>
  <si>
    <t>€/MWh</t>
  </si>
  <si>
    <t>ME</t>
  </si>
  <si>
    <t>IRR:</t>
  </si>
  <si>
    <t>Peak heat load</t>
  </si>
  <si>
    <t>Annual heat energy</t>
  </si>
  <si>
    <t>Linear heat sales density</t>
  </si>
  <si>
    <t>MWh/m per length of network</t>
  </si>
  <si>
    <t>Input parameters</t>
  </si>
  <si>
    <t>Gas boiler</t>
  </si>
  <si>
    <t>Oil boiler (back-up)</t>
  </si>
  <si>
    <t>Capacity</t>
  </si>
  <si>
    <t>Unit cost</t>
  </si>
  <si>
    <t>Consumer substations</t>
  </si>
  <si>
    <t>TOTAL investment costs</t>
  </si>
  <si>
    <t>Annual payment</t>
  </si>
  <si>
    <t>Conversion of investment cost to annual payments</t>
  </si>
  <si>
    <t>Investment costs</t>
  </si>
  <si>
    <t>Interest rate</t>
  </si>
  <si>
    <t>Number of years</t>
  </si>
  <si>
    <t>yrs</t>
  </si>
  <si>
    <t>of initial investment per year</t>
  </si>
  <si>
    <t>Economy of bio mass boiler compared to the exisitng gas/oil boiler</t>
  </si>
  <si>
    <t>Biomass fuel fired boiler</t>
  </si>
  <si>
    <t>Price of oil/gas</t>
  </si>
  <si>
    <t>Price biomass fuel</t>
  </si>
  <si>
    <t>Staff costs</t>
  </si>
  <si>
    <t>Biomass boiler investment</t>
  </si>
  <si>
    <t>Additional staff needed</t>
  </si>
  <si>
    <t>(Biomass boiler needs more staff than the oil/gas boiler)</t>
  </si>
  <si>
    <t>Heat production</t>
  </si>
  <si>
    <t>Biomass boiler</t>
  </si>
  <si>
    <t>Fuel costs</t>
  </si>
  <si>
    <t>Efficiency of boiler</t>
  </si>
  <si>
    <t>Fuel price</t>
  </si>
  <si>
    <t>Incremental staff costs</t>
  </si>
  <si>
    <t>Investment</t>
  </si>
  <si>
    <t>Existing oil/gas boiler</t>
  </si>
  <si>
    <t>Cash flow</t>
  </si>
  <si>
    <t>Internal rate of return</t>
  </si>
  <si>
    <t>k€/person, yr</t>
  </si>
  <si>
    <t>persons</t>
  </si>
  <si>
    <t>Network (DN 150)</t>
  </si>
  <si>
    <t>Network costs are estimated with DN 150 diameter  on average</t>
  </si>
  <si>
    <t>Investment Costs</t>
  </si>
  <si>
    <t>Lifetime</t>
  </si>
  <si>
    <t>Capital</t>
  </si>
  <si>
    <t>Pumping</t>
  </si>
  <si>
    <t>Heat losses</t>
  </si>
  <si>
    <t>Maintenance</t>
  </si>
  <si>
    <t>Efficiency</t>
  </si>
  <si>
    <t>Electricity</t>
  </si>
  <si>
    <t>Maintenance costs</t>
  </si>
  <si>
    <t>of investment costs</t>
  </si>
  <si>
    <t>a</t>
  </si>
  <si>
    <t>k€</t>
  </si>
  <si>
    <t>kWh/m</t>
  </si>
  <si>
    <t>Network heat losses</t>
  </si>
  <si>
    <t>Share</t>
  </si>
  <si>
    <t>Fuel</t>
  </si>
  <si>
    <t>TOTAL annual costs</t>
  </si>
  <si>
    <t xml:space="preserve">        Share of annual costs</t>
  </si>
  <si>
    <t>Oulu</t>
  </si>
  <si>
    <t>Verkon pituus</t>
  </si>
  <si>
    <t>MWh/m</t>
  </si>
  <si>
    <t>Hinta</t>
  </si>
  <si>
    <t>m€</t>
  </si>
  <si>
    <t>Energia</t>
  </si>
  <si>
    <t>Palkka</t>
  </si>
  <si>
    <t>Henkilöstö</t>
  </si>
  <si>
    <t>Käyttökustannukset</t>
  </si>
  <si>
    <t>Kuluttajalaitteet</t>
  </si>
  <si>
    <t>Yksikköhinta</t>
  </si>
  <si>
    <t>Gas heating</t>
  </si>
  <si>
    <t>Heat pump</t>
  </si>
  <si>
    <t>District heating</t>
  </si>
  <si>
    <t>Jakeluverkko</t>
  </si>
  <si>
    <t>tuotantolaitteet</t>
  </si>
  <si>
    <t>Kattilat</t>
  </si>
  <si>
    <t>Investoinnit</t>
  </si>
  <si>
    <t>Teho</t>
  </si>
  <si>
    <t>gas h</t>
  </si>
  <si>
    <t>hp</t>
  </si>
  <si>
    <t>Kl</t>
  </si>
  <si>
    <t>Annual operation and maintenance costs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</si>
</sst>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164" formatCode="[$€-2]\ #,##0;[Red]\-[$€-2]\ #,##0"/>
    <numFmt numFmtId="165" formatCode="0.0"/>
    <numFmt numFmtId="166" formatCode="0.0\ 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3" fillId="0" borderId="0" xfId="2"/>
    <xf numFmtId="164" fontId="0" fillId="0" borderId="0" xfId="2" applyNumberFormat="1" applyFont="1"/>
    <xf numFmtId="0" fontId="4" fillId="0" borderId="0" xfId="2" applyFont="1" applyAlignment="1">
      <alignment horizontal="center"/>
    </xf>
    <xf numFmtId="0" fontId="0" fillId="0" borderId="0" xfId="2" applyFont="1"/>
    <xf numFmtId="1" fontId="4" fillId="0" borderId="0" xfId="2" applyNumberFormat="1" applyFont="1" applyAlignment="1">
      <alignment horizontal="center"/>
    </xf>
    <xf numFmtId="165" fontId="0" fillId="0" borderId="0" xfId="0" applyNumberFormat="1"/>
    <xf numFmtId="1" fontId="0" fillId="0" borderId="0" xfId="0" applyNumberFormat="1"/>
    <xf numFmtId="9" fontId="0" fillId="0" borderId="0" xfId="1" applyFont="1"/>
    <xf numFmtId="3" fontId="0" fillId="0" borderId="0" xfId="0" applyNumberFormat="1"/>
    <xf numFmtId="6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right"/>
    </xf>
    <xf numFmtId="9" fontId="2" fillId="0" borderId="2" xfId="0" applyNumberFormat="1" applyFont="1" applyBorder="1"/>
    <xf numFmtId="0" fontId="0" fillId="0" borderId="0" xfId="0" applyAlignment="1">
      <alignment wrapText="1"/>
    </xf>
    <xf numFmtId="0" fontId="0" fillId="0" borderId="0" xfId="0" quotePrefix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9" fontId="6" fillId="0" borderId="0" xfId="1" applyFont="1"/>
    <xf numFmtId="0" fontId="6" fillId="0" borderId="0" xfId="0" applyFont="1" applyAlignment="1">
      <alignment wrapText="1"/>
    </xf>
    <xf numFmtId="1" fontId="6" fillId="0" borderId="0" xfId="0" applyNumberFormat="1" applyFont="1"/>
    <xf numFmtId="0" fontId="6" fillId="0" borderId="3" xfId="0" applyFont="1" applyBorder="1"/>
    <xf numFmtId="1" fontId="6" fillId="0" borderId="3" xfId="0" applyNumberFormat="1" applyFont="1" applyBorder="1"/>
    <xf numFmtId="9" fontId="6" fillId="0" borderId="3" xfId="1" applyFont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0" xfId="0" applyFont="1"/>
    <xf numFmtId="9" fontId="8" fillId="0" borderId="0" xfId="1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166" fontId="6" fillId="0" borderId="0" xfId="0" applyNumberFormat="1" applyFont="1"/>
    <xf numFmtId="9" fontId="8" fillId="0" borderId="3" xfId="1" applyFont="1" applyBorder="1"/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9" fontId="8" fillId="0" borderId="0" xfId="0" applyNumberFormat="1" applyFont="1"/>
    <xf numFmtId="9" fontId="0" fillId="0" borderId="0" xfId="0" applyNumberFormat="1"/>
    <xf numFmtId="9" fontId="5" fillId="0" borderId="0" xfId="1" applyFont="1"/>
    <xf numFmtId="0" fontId="0" fillId="0" borderId="0" xfId="0" applyAlignment="1">
      <alignment horizontal="center"/>
    </xf>
    <xf numFmtId="0" fontId="0" fillId="2" borderId="0" xfId="0" applyFill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view3D>
      <c:rAngAx val="1"/>
    </c:view3D>
    <c:sideWall>
      <c:spPr>
        <a:solidFill>
          <a:schemeClr val="accent1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20000"/>
              <a:lumOff val="80000"/>
            </a:schemeClr>
          </a:outerShdw>
        </a:effectLst>
      </c:spPr>
    </c:sideWall>
    <c:backWall>
      <c:spPr>
        <a:solidFill>
          <a:schemeClr val="accent1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20000"/>
              <a:lumOff val="80000"/>
            </a:schemeClr>
          </a:outerShdw>
        </a:effectLst>
      </c:spPr>
    </c:backWall>
    <c:plotArea>
      <c:layout/>
      <c:bar3DChart>
        <c:barDir val="bar"/>
        <c:grouping val="clustered"/>
        <c:ser>
          <c:idx val="0"/>
          <c:order val="0"/>
          <c:cat>
            <c:strRef>
              <c:f>'Investment cost'!$B$7:$B$11</c:f>
              <c:strCache>
                <c:ptCount val="5"/>
                <c:pt idx="0">
                  <c:v>Biomass fuel fired boiler</c:v>
                </c:pt>
                <c:pt idx="1">
                  <c:v>Gas boiler</c:v>
                </c:pt>
                <c:pt idx="2">
                  <c:v>Oil boiler (back-up)</c:v>
                </c:pt>
                <c:pt idx="3">
                  <c:v>Network (DN 150)</c:v>
                </c:pt>
                <c:pt idx="4">
                  <c:v>Consumer substations</c:v>
                </c:pt>
              </c:strCache>
            </c:strRef>
          </c:cat>
          <c:val>
            <c:numRef>
              <c:f>'Investment cost'!$H$7:$H$11</c:f>
              <c:numCache>
                <c:formatCode>0\ %</c:formatCode>
                <c:ptCount val="5"/>
                <c:pt idx="0">
                  <c:v>0.35747385144975508</c:v>
                </c:pt>
                <c:pt idx="1">
                  <c:v>7.1494770289951021E-2</c:v>
                </c:pt>
                <c:pt idx="2">
                  <c:v>7.1494770289951021E-2</c:v>
                </c:pt>
                <c:pt idx="3">
                  <c:v>0.41374288362240169</c:v>
                </c:pt>
                <c:pt idx="4">
                  <c:v>8.5793724347941219E-2</c:v>
                </c:pt>
              </c:numCache>
            </c:numRef>
          </c:val>
        </c:ser>
        <c:shape val="cylinder"/>
        <c:axId val="99966336"/>
        <c:axId val="99972224"/>
        <c:axId val="0"/>
      </c:bar3DChart>
      <c:catAx>
        <c:axId val="99966336"/>
        <c:scaling>
          <c:orientation val="minMax"/>
        </c:scaling>
        <c:axPos val="l"/>
        <c:tickLblPos val="nextTo"/>
        <c:txPr>
          <a:bodyPr/>
          <a:lstStyle/>
          <a:p>
            <a:pPr>
              <a:defRPr sz="1600" b="1" i="0" baseline="0"/>
            </a:pPr>
            <a:endParaRPr lang="fi-FI"/>
          </a:p>
        </c:txPr>
        <c:crossAx val="99972224"/>
        <c:crosses val="autoZero"/>
        <c:auto val="1"/>
        <c:lblAlgn val="ctr"/>
        <c:lblOffset val="100"/>
      </c:catAx>
      <c:valAx>
        <c:axId val="99972224"/>
        <c:scaling>
          <c:orientation val="minMax"/>
        </c:scaling>
        <c:axPos val="b"/>
        <c:majorGridlines/>
        <c:numFmt formatCode="0\ %" sourceLinked="1"/>
        <c:tickLblPos val="nextTo"/>
        <c:txPr>
          <a:bodyPr/>
          <a:lstStyle/>
          <a:p>
            <a:pPr>
              <a:defRPr sz="1400" b="1"/>
            </a:pPr>
            <a:endParaRPr lang="fi-FI"/>
          </a:p>
        </c:txPr>
        <c:crossAx val="9996633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bg2">
                  <a:lumMod val="90000"/>
                </a:schemeClr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cat>
            <c:strRef>
              <c:f>'Annual cost'!$V$4:$V$8</c:f>
              <c:strCache>
                <c:ptCount val="5"/>
                <c:pt idx="0">
                  <c:v>Capital</c:v>
                </c:pt>
                <c:pt idx="1">
                  <c:v>Fuel</c:v>
                </c:pt>
                <c:pt idx="2">
                  <c:v>Pumping</c:v>
                </c:pt>
                <c:pt idx="3">
                  <c:v>Network heat losses</c:v>
                </c:pt>
                <c:pt idx="4">
                  <c:v>Maintenance</c:v>
                </c:pt>
              </c:strCache>
            </c:strRef>
          </c:cat>
          <c:val>
            <c:numRef>
              <c:f>'Annual cost'!$W$4:$W$8</c:f>
              <c:numCache>
                <c:formatCode>0\ %</c:formatCode>
                <c:ptCount val="5"/>
                <c:pt idx="0">
                  <c:v>0.20185693055517709</c:v>
                </c:pt>
                <c:pt idx="1">
                  <c:v>0.60884650848718147</c:v>
                </c:pt>
                <c:pt idx="2">
                  <c:v>2.2744917473457065E-2</c:v>
                </c:pt>
                <c:pt idx="3">
                  <c:v>9.019948273884168E-2</c:v>
                </c:pt>
                <c:pt idx="4">
                  <c:v>7.6352160745342762E-2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autoTitleDeleted val="1"/>
    <c:plotArea>
      <c:layout/>
      <c:lineChart>
        <c:grouping val="standard"/>
        <c:ser>
          <c:idx val="1"/>
          <c:order val="0"/>
          <c:tx>
            <c:strRef>
              <c:f>'Econ Anal'!$K$9</c:f>
              <c:strCache>
                <c:ptCount val="1"/>
                <c:pt idx="0">
                  <c:v>District heating</c:v>
                </c:pt>
              </c:strCache>
            </c:strRef>
          </c:tx>
          <c:marker>
            <c:symbol val="none"/>
          </c:marker>
          <c:cat>
            <c:numRef>
              <c:f>'Econ Anal'!$J$10:$J$17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'Econ Anal'!$K$10:$K$17</c:f>
              <c:numCache>
                <c:formatCode>0</c:formatCode>
                <c:ptCount val="8"/>
                <c:pt idx="0">
                  <c:v>217</c:v>
                </c:pt>
                <c:pt idx="1">
                  <c:v>142</c:v>
                </c:pt>
                <c:pt idx="2">
                  <c:v>117</c:v>
                </c:pt>
                <c:pt idx="3">
                  <c:v>104.5</c:v>
                </c:pt>
                <c:pt idx="4">
                  <c:v>97</c:v>
                </c:pt>
                <c:pt idx="5">
                  <c:v>92</c:v>
                </c:pt>
                <c:pt idx="6">
                  <c:v>88.428571428571431</c:v>
                </c:pt>
                <c:pt idx="7">
                  <c:v>85.75</c:v>
                </c:pt>
              </c:numCache>
            </c:numRef>
          </c:val>
        </c:ser>
        <c:ser>
          <c:idx val="2"/>
          <c:order val="1"/>
          <c:tx>
            <c:strRef>
              <c:f>'Econ Anal'!$L$9</c:f>
              <c:strCache>
                <c:ptCount val="1"/>
                <c:pt idx="0">
                  <c:v>Heat pump</c:v>
                </c:pt>
              </c:strCache>
            </c:strRef>
          </c:tx>
          <c:marker>
            <c:symbol val="none"/>
          </c:marker>
          <c:cat>
            <c:numRef>
              <c:f>'Econ Anal'!$J$10:$J$17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'Econ Anal'!$L$10:$L$17</c:f>
              <c:numCache>
                <c:formatCode>0</c:formatCode>
                <c:ptCount val="8"/>
                <c:pt idx="0">
                  <c:v>170.71428571428572</c:v>
                </c:pt>
                <c:pt idx="1">
                  <c:v>158.21428571428572</c:v>
                </c:pt>
                <c:pt idx="2">
                  <c:v>154.04761904761907</c:v>
                </c:pt>
                <c:pt idx="3">
                  <c:v>151.96428571428572</c:v>
                </c:pt>
                <c:pt idx="4">
                  <c:v>150.71428571428572</c:v>
                </c:pt>
                <c:pt idx="5">
                  <c:v>149.88095238095238</c:v>
                </c:pt>
                <c:pt idx="6">
                  <c:v>149.28571428571431</c:v>
                </c:pt>
                <c:pt idx="7">
                  <c:v>148.83928571428572</c:v>
                </c:pt>
              </c:numCache>
            </c:numRef>
          </c:val>
        </c:ser>
        <c:ser>
          <c:idx val="3"/>
          <c:order val="2"/>
          <c:tx>
            <c:strRef>
              <c:f>'Econ Anal'!$M$9</c:f>
              <c:strCache>
                <c:ptCount val="1"/>
                <c:pt idx="0">
                  <c:v>Gas heating</c:v>
                </c:pt>
              </c:strCache>
            </c:strRef>
          </c:tx>
          <c:marker>
            <c:symbol val="none"/>
          </c:marker>
          <c:cat>
            <c:numRef>
              <c:f>'Econ Anal'!$J$10:$J$17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'Econ Anal'!$M$10:$M$17</c:f>
              <c:numCache>
                <c:formatCode>0</c:formatCode>
                <c:ptCount val="8"/>
                <c:pt idx="0">
                  <c:v>146</c:v>
                </c:pt>
                <c:pt idx="1">
                  <c:v>133.5</c:v>
                </c:pt>
                <c:pt idx="2">
                  <c:v>129.33333333333334</c:v>
                </c:pt>
                <c:pt idx="3">
                  <c:v>127.25</c:v>
                </c:pt>
                <c:pt idx="4">
                  <c:v>126</c:v>
                </c:pt>
                <c:pt idx="5">
                  <c:v>125.16666666666667</c:v>
                </c:pt>
                <c:pt idx="6">
                  <c:v>124.57142857142857</c:v>
                </c:pt>
                <c:pt idx="7">
                  <c:v>124.125</c:v>
                </c:pt>
              </c:numCache>
            </c:numRef>
          </c:val>
        </c:ser>
        <c:dropLines/>
        <c:marker val="1"/>
        <c:axId val="88621824"/>
        <c:axId val="88623744"/>
      </c:lineChart>
      <c:catAx>
        <c:axId val="88621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 load density: Sold heat energy per network length (MWh/m)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8623744"/>
        <c:crosses val="autoZero"/>
        <c:auto val="1"/>
        <c:lblAlgn val="ctr"/>
        <c:lblOffset val="100"/>
      </c:catAx>
      <c:valAx>
        <c:axId val="886237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costs per year</a:t>
                </a:r>
              </a:p>
            </c:rich>
          </c:tx>
          <c:layout/>
        </c:title>
        <c:numFmt formatCode="0" sourceLinked="1"/>
        <c:tickLblPos val="nextTo"/>
        <c:crossAx val="88621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</xdr:row>
      <xdr:rowOff>31749</xdr:rowOff>
    </xdr:from>
    <xdr:to>
      <xdr:col>13</xdr:col>
      <xdr:colOff>450273</xdr:colOff>
      <xdr:row>12</xdr:row>
      <xdr:rowOff>112568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311727</xdr:colOff>
      <xdr:row>0</xdr:row>
      <xdr:rowOff>129888</xdr:rowOff>
    </xdr:from>
    <xdr:to>
      <xdr:col>18</xdr:col>
      <xdr:colOff>874568</xdr:colOff>
      <xdr:row>9</xdr:row>
      <xdr:rowOff>17319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</xdr:row>
      <xdr:rowOff>0</xdr:rowOff>
    </xdr:from>
    <xdr:to>
      <xdr:col>21</xdr:col>
      <xdr:colOff>342900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showGridLines="0" zoomScale="110" zoomScaleNormal="110" workbookViewId="0">
      <selection activeCell="B17" sqref="B17"/>
    </sheetView>
  </sheetViews>
  <sheetFormatPr defaultRowHeight="15"/>
  <cols>
    <col min="1" max="1" width="2.85546875" customWidth="1"/>
    <col min="2" max="2" width="28.7109375" bestFit="1" customWidth="1"/>
    <col min="3" max="3" width="6.5703125" customWidth="1"/>
    <col min="4" max="4" width="5.7109375" customWidth="1"/>
    <col min="5" max="5" width="5.85546875" customWidth="1"/>
    <col min="6" max="6" width="5.5703125" customWidth="1"/>
    <col min="7" max="7" width="7.28515625" customWidth="1"/>
    <col min="25" max="25" width="2.28515625" customWidth="1"/>
    <col min="26" max="26" width="2.140625" customWidth="1"/>
    <col min="27" max="27" width="1.28515625" customWidth="1"/>
  </cols>
  <sheetData>
    <row r="1" spans="1:29" ht="26.25" customHeight="1">
      <c r="A1" s="16" t="s">
        <v>18</v>
      </c>
      <c r="B1" s="17"/>
      <c r="C1" s="17"/>
      <c r="D1" s="17"/>
      <c r="E1" s="17"/>
      <c r="F1" s="17"/>
      <c r="G1" s="17"/>
      <c r="H1" s="17"/>
      <c r="I1" s="28" t="s">
        <v>54</v>
      </c>
    </row>
    <row r="2" spans="1:29" ht="18.75">
      <c r="A2" s="17"/>
      <c r="B2" s="17" t="s">
        <v>14</v>
      </c>
      <c r="C2" s="26">
        <v>100</v>
      </c>
      <c r="D2" s="17" t="s">
        <v>0</v>
      </c>
      <c r="E2" s="17"/>
      <c r="F2" s="17"/>
      <c r="G2" s="17"/>
      <c r="H2" s="17"/>
    </row>
    <row r="3" spans="1:29" ht="18.75">
      <c r="A3" s="17"/>
      <c r="B3" s="17" t="s">
        <v>15</v>
      </c>
      <c r="C3" s="17">
        <f>+C2*2.5</f>
        <v>250</v>
      </c>
      <c r="D3" s="17" t="s">
        <v>2</v>
      </c>
      <c r="E3" s="17"/>
      <c r="F3" s="17"/>
      <c r="G3" s="17"/>
      <c r="H3" s="17"/>
    </row>
    <row r="4" spans="1:29" ht="18.75">
      <c r="A4" s="17"/>
      <c r="B4" s="17" t="s">
        <v>16</v>
      </c>
      <c r="C4" s="27">
        <v>2.7</v>
      </c>
      <c r="D4" s="17" t="s">
        <v>17</v>
      </c>
      <c r="E4" s="17"/>
      <c r="F4" s="17"/>
      <c r="G4" s="17"/>
      <c r="H4" s="17"/>
    </row>
    <row r="5" spans="1:29" ht="18.75">
      <c r="A5" s="17"/>
      <c r="B5" s="17"/>
      <c r="C5" s="17"/>
      <c r="D5" s="17"/>
      <c r="E5" s="17"/>
      <c r="F5" s="17"/>
      <c r="G5" s="17"/>
      <c r="H5" s="17"/>
      <c r="U5" t="s">
        <v>6</v>
      </c>
      <c r="V5" t="s">
        <v>7</v>
      </c>
    </row>
    <row r="6" spans="1:29" ht="18.75">
      <c r="A6" s="17"/>
      <c r="B6" s="17"/>
      <c r="C6" s="18" t="s">
        <v>21</v>
      </c>
      <c r="D6" s="17"/>
      <c r="E6" s="19" t="s">
        <v>22</v>
      </c>
      <c r="F6" s="17"/>
      <c r="G6" s="18" t="s">
        <v>5</v>
      </c>
      <c r="H6" s="17"/>
      <c r="U6" t="s">
        <v>8</v>
      </c>
    </row>
    <row r="7" spans="1:29" ht="18.75">
      <c r="A7" s="17"/>
      <c r="B7" s="17" t="s">
        <v>33</v>
      </c>
      <c r="C7" s="17">
        <f>+C2/2</f>
        <v>50</v>
      </c>
      <c r="D7" s="17" t="s">
        <v>0</v>
      </c>
      <c r="E7" s="17">
        <v>400</v>
      </c>
      <c r="F7" s="17" t="s">
        <v>4</v>
      </c>
      <c r="G7" s="17">
        <f>+C7*E7/1000</f>
        <v>20</v>
      </c>
      <c r="H7" s="20">
        <f>+G7/$G$12</f>
        <v>0.35747385144975508</v>
      </c>
      <c r="V7" t="s">
        <v>9</v>
      </c>
    </row>
    <row r="8" spans="1:29" ht="18.75">
      <c r="A8" s="17"/>
      <c r="B8" s="17" t="s">
        <v>19</v>
      </c>
      <c r="C8" s="17">
        <f>+C2/2</f>
        <v>50</v>
      </c>
      <c r="D8" s="17" t="s">
        <v>0</v>
      </c>
      <c r="E8" s="17">
        <v>80</v>
      </c>
      <c r="F8" s="17" t="s">
        <v>4</v>
      </c>
      <c r="G8" s="17">
        <f>+C8*E8/1000</f>
        <v>4</v>
      </c>
      <c r="H8" s="20">
        <f t="shared" ref="H8:H12" si="0">+G8/$G$12</f>
        <v>7.1494770289951021E-2</v>
      </c>
      <c r="U8">
        <v>10</v>
      </c>
      <c r="V8">
        <v>0</v>
      </c>
    </row>
    <row r="9" spans="1:29" ht="18.75">
      <c r="A9" s="17"/>
      <c r="B9" s="17" t="s">
        <v>20</v>
      </c>
      <c r="C9" s="17">
        <f>+C2/2</f>
        <v>50</v>
      </c>
      <c r="D9" s="17" t="s">
        <v>0</v>
      </c>
      <c r="E9" s="17">
        <v>80</v>
      </c>
      <c r="F9" s="17" t="s">
        <v>4</v>
      </c>
      <c r="G9" s="17">
        <f>+C9*E9/1000</f>
        <v>4</v>
      </c>
      <c r="H9" s="20">
        <f t="shared" si="0"/>
        <v>7.1494770289951021E-2</v>
      </c>
      <c r="U9">
        <v>25</v>
      </c>
      <c r="V9">
        <v>1645</v>
      </c>
      <c r="AB9">
        <v>60</v>
      </c>
      <c r="AC9">
        <f>+V9*AB9</f>
        <v>98700</v>
      </c>
    </row>
    <row r="10" spans="1:29" ht="18.75">
      <c r="A10" s="17"/>
      <c r="B10" s="21" t="s">
        <v>52</v>
      </c>
      <c r="C10" s="17">
        <f>+C3/C4</f>
        <v>92.592592592592581</v>
      </c>
      <c r="D10" s="17" t="s">
        <v>3</v>
      </c>
      <c r="E10" s="17">
        <v>250</v>
      </c>
      <c r="F10" s="17" t="s">
        <v>1</v>
      </c>
      <c r="G10" s="22">
        <f>+E10*C10/1000</f>
        <v>23.148148148148145</v>
      </c>
      <c r="H10" s="20">
        <f t="shared" si="0"/>
        <v>0.41374288362240169</v>
      </c>
      <c r="U10">
        <v>32</v>
      </c>
      <c r="V10">
        <v>2085</v>
      </c>
      <c r="AB10">
        <v>60</v>
      </c>
      <c r="AC10">
        <f t="shared" ref="AC10:AC27" si="1">+V10*AB10</f>
        <v>125100</v>
      </c>
    </row>
    <row r="11" spans="1:29" ht="18.75">
      <c r="A11" s="17"/>
      <c r="B11" s="23" t="s">
        <v>23</v>
      </c>
      <c r="C11" s="23">
        <f>+C2*1.2</f>
        <v>120</v>
      </c>
      <c r="D11" s="23" t="s">
        <v>0</v>
      </c>
      <c r="E11" s="23">
        <v>40</v>
      </c>
      <c r="F11" s="23" t="s">
        <v>4</v>
      </c>
      <c r="G11" s="24">
        <f>+C11*E11/1000</f>
        <v>4.8</v>
      </c>
      <c r="H11" s="25">
        <f t="shared" si="0"/>
        <v>8.5793724347941219E-2</v>
      </c>
    </row>
    <row r="12" spans="1:29" ht="18.75">
      <c r="A12" s="17"/>
      <c r="B12" s="17" t="s">
        <v>24</v>
      </c>
      <c r="C12" s="17"/>
      <c r="D12" s="17"/>
      <c r="E12" s="17"/>
      <c r="F12" s="17"/>
      <c r="G12" s="22">
        <f>SUM(G7:G11)</f>
        <v>55.948148148148142</v>
      </c>
      <c r="H12" s="20">
        <f t="shared" si="0"/>
        <v>1</v>
      </c>
      <c r="U12">
        <v>40</v>
      </c>
      <c r="V12">
        <v>2070</v>
      </c>
      <c r="X12" s="1"/>
      <c r="Y12" s="2"/>
      <c r="Z12" s="1"/>
      <c r="AA12" s="1"/>
      <c r="AB12" s="3">
        <v>65</v>
      </c>
      <c r="AC12">
        <f t="shared" si="1"/>
        <v>134550</v>
      </c>
    </row>
    <row r="13" spans="1:29">
      <c r="U13">
        <v>50</v>
      </c>
      <c r="V13">
        <v>3275</v>
      </c>
      <c r="X13" s="1">
        <v>50</v>
      </c>
      <c r="Y13" s="1">
        <f t="shared" ref="Y13" si="2">AA13*0.64</f>
        <v>3862.5279999999998</v>
      </c>
      <c r="Z13" s="1">
        <f t="shared" ref="Z13" si="3">AA13*0.36</f>
        <v>2172.672</v>
      </c>
      <c r="AA13" s="4">
        <f>64*82*1.15</f>
        <v>6035.2</v>
      </c>
      <c r="AB13" s="5">
        <f>+AA13/77</f>
        <v>78.379220779220773</v>
      </c>
      <c r="AC13">
        <f t="shared" si="1"/>
        <v>256691.94805194804</v>
      </c>
    </row>
    <row r="14" spans="1:29">
      <c r="U14">
        <v>65</v>
      </c>
      <c r="V14">
        <v>3855</v>
      </c>
      <c r="AB14">
        <v>90</v>
      </c>
      <c r="AC14">
        <f t="shared" si="1"/>
        <v>346950</v>
      </c>
    </row>
    <row r="15" spans="1:29">
      <c r="U15">
        <v>80</v>
      </c>
      <c r="V15">
        <v>4070</v>
      </c>
      <c r="X15" s="1">
        <v>80</v>
      </c>
      <c r="Y15" s="1">
        <f t="shared" ref="Y15:Y23" si="4">AA15*0.64</f>
        <v>4828.16</v>
      </c>
      <c r="Z15" s="1">
        <f t="shared" ref="Z15:Z23" si="5">AA15*0.36</f>
        <v>2715.8399999999997</v>
      </c>
      <c r="AA15" s="4">
        <f>80*82*1.15</f>
        <v>7543.9999999999991</v>
      </c>
      <c r="AB15" s="5">
        <f t="shared" ref="AB15:AB23" si="6">+AA15/77</f>
        <v>97.974025974025963</v>
      </c>
      <c r="AC15">
        <f t="shared" si="1"/>
        <v>398754.28571428568</v>
      </c>
    </row>
    <row r="16" spans="1:29" ht="45">
      <c r="B16" s="14" t="s">
        <v>53</v>
      </c>
      <c r="U16">
        <v>100</v>
      </c>
      <c r="V16">
        <v>5140</v>
      </c>
      <c r="X16" s="1">
        <v>100</v>
      </c>
      <c r="Y16" s="1">
        <f t="shared" si="4"/>
        <v>6759.4239999999991</v>
      </c>
      <c r="Z16" s="1">
        <f t="shared" si="5"/>
        <v>3802.1759999999995</v>
      </c>
      <c r="AA16" s="1">
        <f>112*82*1.15</f>
        <v>10561.599999999999</v>
      </c>
      <c r="AB16" s="5">
        <f t="shared" si="6"/>
        <v>137.16363636363636</v>
      </c>
      <c r="AC16">
        <f t="shared" si="1"/>
        <v>705021.09090909082</v>
      </c>
    </row>
    <row r="17" spans="21:30">
      <c r="U17">
        <v>125</v>
      </c>
      <c r="V17">
        <v>7585</v>
      </c>
      <c r="X17" s="1">
        <v>126</v>
      </c>
      <c r="Y17" s="1">
        <f t="shared" si="4"/>
        <v>7543.9999999999991</v>
      </c>
      <c r="Z17" s="1">
        <f t="shared" si="5"/>
        <v>4243.4999999999991</v>
      </c>
      <c r="AA17" s="1">
        <f>125*82*1.15</f>
        <v>11787.499999999998</v>
      </c>
      <c r="AB17" s="5">
        <f t="shared" si="6"/>
        <v>153.08441558441555</v>
      </c>
      <c r="AC17">
        <f t="shared" si="1"/>
        <v>1161145.2922077919</v>
      </c>
    </row>
    <row r="18" spans="21:30">
      <c r="U18">
        <v>150</v>
      </c>
      <c r="V18">
        <v>5530</v>
      </c>
      <c r="X18" s="1">
        <v>150</v>
      </c>
      <c r="Y18" s="1">
        <f t="shared" si="4"/>
        <v>8751.0399999999991</v>
      </c>
      <c r="Z18" s="1">
        <f t="shared" si="5"/>
        <v>4922.4599999999991</v>
      </c>
      <c r="AA18" s="1">
        <f>82*145*1.15</f>
        <v>13673.499999999998</v>
      </c>
      <c r="AB18" s="5">
        <f t="shared" si="6"/>
        <v>177.57792207792207</v>
      </c>
      <c r="AC18">
        <f t="shared" si="1"/>
        <v>982005.90909090906</v>
      </c>
    </row>
    <row r="19" spans="21:30">
      <c r="U19">
        <v>200</v>
      </c>
      <c r="V19">
        <v>8710</v>
      </c>
      <c r="X19" s="1">
        <v>200</v>
      </c>
      <c r="Y19" s="1">
        <f t="shared" si="4"/>
        <v>11466.880000000001</v>
      </c>
      <c r="Z19" s="1">
        <f t="shared" si="5"/>
        <v>6450.12</v>
      </c>
      <c r="AA19" s="1">
        <f>82*190*1.15</f>
        <v>17917</v>
      </c>
      <c r="AB19" s="5">
        <f t="shared" si="6"/>
        <v>232.6883116883117</v>
      </c>
      <c r="AC19">
        <f t="shared" si="1"/>
        <v>2026715.1948051949</v>
      </c>
    </row>
    <row r="20" spans="21:30">
      <c r="U20">
        <v>250</v>
      </c>
      <c r="V20">
        <v>5810</v>
      </c>
      <c r="X20" s="1">
        <v>250</v>
      </c>
      <c r="Y20" s="1">
        <f t="shared" si="4"/>
        <v>15691.519999999999</v>
      </c>
      <c r="Z20" s="1">
        <f t="shared" si="5"/>
        <v>8826.4799999999977</v>
      </c>
      <c r="AA20" s="1">
        <f>82*260*1.15</f>
        <v>24517.999999999996</v>
      </c>
      <c r="AB20" s="5">
        <f t="shared" si="6"/>
        <v>318.41558441558436</v>
      </c>
      <c r="AC20">
        <f t="shared" si="1"/>
        <v>1849994.5454545452</v>
      </c>
    </row>
    <row r="21" spans="21:30">
      <c r="U21">
        <v>300</v>
      </c>
      <c r="V21">
        <v>2534</v>
      </c>
      <c r="X21" s="1">
        <v>300</v>
      </c>
      <c r="Y21" s="1">
        <f t="shared" si="4"/>
        <v>19916.16</v>
      </c>
      <c r="Z21" s="1">
        <f t="shared" si="5"/>
        <v>11202.839999999998</v>
      </c>
      <c r="AA21" s="1">
        <f>82*330*1.15</f>
        <v>31118.999999999996</v>
      </c>
      <c r="AB21" s="5">
        <f t="shared" si="6"/>
        <v>404.14285714285711</v>
      </c>
      <c r="AC21">
        <f t="shared" si="1"/>
        <v>1024097.9999999999</v>
      </c>
    </row>
    <row r="22" spans="21:30">
      <c r="U22">
        <v>350</v>
      </c>
      <c r="V22">
        <v>840</v>
      </c>
      <c r="X22" s="1">
        <v>350</v>
      </c>
      <c r="Y22" s="1">
        <f t="shared" si="4"/>
        <v>22933.760000000002</v>
      </c>
      <c r="Z22" s="1">
        <f t="shared" si="5"/>
        <v>12900.24</v>
      </c>
      <c r="AA22" s="1">
        <f>82*380*1.15</f>
        <v>35834</v>
      </c>
      <c r="AB22" s="5">
        <f t="shared" si="6"/>
        <v>465.3766233766234</v>
      </c>
      <c r="AC22">
        <f t="shared" si="1"/>
        <v>390916.36363636365</v>
      </c>
    </row>
    <row r="23" spans="21:30">
      <c r="U23">
        <v>400</v>
      </c>
      <c r="V23">
        <v>2526</v>
      </c>
      <c r="X23" s="1">
        <v>400</v>
      </c>
      <c r="Y23" s="1">
        <f t="shared" si="4"/>
        <v>27158.400000000001</v>
      </c>
      <c r="Z23" s="1">
        <f t="shared" si="5"/>
        <v>15276.599999999999</v>
      </c>
      <c r="AA23" s="1">
        <f>82*450*1.15</f>
        <v>42435</v>
      </c>
      <c r="AB23" s="5">
        <f t="shared" si="6"/>
        <v>551.10389610389609</v>
      </c>
      <c r="AC23">
        <f t="shared" si="1"/>
        <v>1392088.4415584416</v>
      </c>
    </row>
    <row r="24" spans="21:30">
      <c r="U24">
        <v>450</v>
      </c>
      <c r="V24">
        <v>0</v>
      </c>
      <c r="AC24">
        <f t="shared" si="1"/>
        <v>0</v>
      </c>
    </row>
    <row r="25" spans="21:30">
      <c r="U25">
        <v>500</v>
      </c>
      <c r="V25">
        <v>0</v>
      </c>
      <c r="X25" s="1">
        <v>500</v>
      </c>
      <c r="Y25" s="1">
        <f>AA25*0.64</f>
        <v>35607.679999999993</v>
      </c>
      <c r="Z25" s="1">
        <f>AA25*0.36</f>
        <v>20029.319999999996</v>
      </c>
      <c r="AA25" s="1">
        <f>82*590*1.15</f>
        <v>55636.999999999993</v>
      </c>
      <c r="AB25" s="5">
        <f>+AA25/77</f>
        <v>722.55844155844147</v>
      </c>
      <c r="AC25">
        <f t="shared" si="1"/>
        <v>0</v>
      </c>
    </row>
    <row r="26" spans="21:30">
      <c r="U26">
        <v>550</v>
      </c>
      <c r="V26">
        <v>460</v>
      </c>
      <c r="AB26">
        <v>900</v>
      </c>
      <c r="AC26">
        <f t="shared" si="1"/>
        <v>414000</v>
      </c>
    </row>
    <row r="27" spans="21:30">
      <c r="U27">
        <v>600</v>
      </c>
      <c r="V27">
        <v>0</v>
      </c>
      <c r="AC27">
        <f t="shared" si="1"/>
        <v>0</v>
      </c>
    </row>
    <row r="28" spans="21:30">
      <c r="U28" t="s">
        <v>7</v>
      </c>
      <c r="V28">
        <v>56135</v>
      </c>
      <c r="AC28">
        <f>SUM(AC9:AC27)</f>
        <v>11306731.071428569</v>
      </c>
      <c r="AD28">
        <f>+AC28*100/56</f>
        <v>20190591.198979586</v>
      </c>
    </row>
    <row r="29" spans="21:30">
      <c r="AD29">
        <f>+AD28/1000000</f>
        <v>20.190591198979586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showGridLines="0" zoomScale="110" zoomScaleNormal="110" workbookViewId="0">
      <selection activeCell="H2" sqref="H2"/>
    </sheetView>
  </sheetViews>
  <sheetFormatPr defaultRowHeight="15"/>
  <cols>
    <col min="1" max="1" width="2.85546875" customWidth="1"/>
    <col min="2" max="2" width="28.7109375" bestFit="1" customWidth="1"/>
    <col min="3" max="3" width="8.140625" customWidth="1"/>
    <col min="4" max="4" width="5.7109375" customWidth="1"/>
    <col min="5" max="5" width="7.7109375" customWidth="1"/>
    <col min="6" max="6" width="7.5703125" customWidth="1"/>
    <col min="7" max="8" width="6.5703125" customWidth="1"/>
    <col min="9" max="9" width="8.140625" customWidth="1"/>
    <col min="10" max="10" width="7.42578125" customWidth="1"/>
    <col min="11" max="11" width="7.85546875" customWidth="1"/>
    <col min="12" max="12" width="9.85546875" customWidth="1"/>
    <col min="13" max="13" width="9.42578125" customWidth="1"/>
    <col min="19" max="19" width="17.5703125" customWidth="1"/>
    <col min="30" max="30" width="2.28515625" customWidth="1"/>
    <col min="31" max="31" width="2.140625" customWidth="1"/>
    <col min="32" max="32" width="1.28515625" customWidth="1"/>
  </cols>
  <sheetData>
    <row r="1" spans="1:34" ht="26.25" customHeight="1">
      <c r="A1" s="16" t="s">
        <v>18</v>
      </c>
      <c r="B1" s="17"/>
      <c r="C1" s="17"/>
      <c r="D1" s="17"/>
      <c r="E1" s="17"/>
      <c r="F1" s="17"/>
      <c r="G1" s="17"/>
      <c r="H1" s="28" t="s">
        <v>94</v>
      </c>
      <c r="I1" s="17"/>
      <c r="J1" s="17"/>
      <c r="K1" s="17"/>
      <c r="L1" s="17"/>
      <c r="M1" s="17"/>
    </row>
    <row r="2" spans="1:34" ht="18.75">
      <c r="A2" s="17"/>
      <c r="B2" s="17" t="s">
        <v>61</v>
      </c>
      <c r="E2" s="17">
        <v>100</v>
      </c>
      <c r="F2" s="30" t="s">
        <v>11</v>
      </c>
      <c r="G2" s="30"/>
      <c r="H2" s="30"/>
      <c r="I2" s="30"/>
      <c r="J2" s="17"/>
      <c r="K2" s="17"/>
      <c r="L2" s="17"/>
      <c r="M2" s="17"/>
    </row>
    <row r="3" spans="1:34" ht="18.75">
      <c r="A3" s="17"/>
      <c r="B3" s="17" t="s">
        <v>34</v>
      </c>
      <c r="C3" s="17"/>
      <c r="D3" s="17"/>
      <c r="E3" s="17">
        <v>40</v>
      </c>
      <c r="F3" s="30" t="s">
        <v>11</v>
      </c>
      <c r="G3" s="30"/>
      <c r="H3" s="30"/>
      <c r="I3" s="30"/>
      <c r="J3" s="17"/>
      <c r="K3" s="17"/>
      <c r="L3" s="17"/>
      <c r="M3" s="17"/>
    </row>
    <row r="4" spans="1:34" ht="18.75">
      <c r="A4" s="17"/>
      <c r="B4" s="17" t="s">
        <v>35</v>
      </c>
      <c r="C4" s="17"/>
      <c r="D4" s="17"/>
      <c r="E4" s="17">
        <v>20</v>
      </c>
      <c r="F4" s="30" t="s">
        <v>11</v>
      </c>
      <c r="G4" s="30"/>
      <c r="H4" s="30"/>
      <c r="I4" s="30"/>
      <c r="J4" s="17"/>
      <c r="K4" s="17"/>
      <c r="L4" s="17"/>
      <c r="M4" s="17"/>
      <c r="V4" t="s">
        <v>56</v>
      </c>
      <c r="W4" s="38">
        <f>+F17</f>
        <v>0.20185693055517709</v>
      </c>
    </row>
    <row r="5" spans="1:34" ht="18.75">
      <c r="A5" s="17"/>
      <c r="B5" s="17" t="s">
        <v>36</v>
      </c>
      <c r="C5" s="17"/>
      <c r="D5" s="17"/>
      <c r="E5" s="17">
        <v>45</v>
      </c>
      <c r="F5" s="30" t="s">
        <v>50</v>
      </c>
      <c r="G5" s="30"/>
      <c r="H5" s="30"/>
      <c r="I5" s="30"/>
      <c r="J5" s="17"/>
      <c r="K5" s="17"/>
      <c r="L5" s="17"/>
      <c r="M5" s="17"/>
      <c r="V5" t="s">
        <v>69</v>
      </c>
      <c r="W5" s="38">
        <f>+I17</f>
        <v>0.60884650848718147</v>
      </c>
    </row>
    <row r="6" spans="1:34" ht="18.75">
      <c r="A6" s="17"/>
      <c r="B6" s="17" t="s">
        <v>62</v>
      </c>
      <c r="E6" s="33">
        <v>1.4999999999999999E-2</v>
      </c>
      <c r="F6" s="30" t="s">
        <v>63</v>
      </c>
      <c r="G6" s="30"/>
      <c r="H6" s="30"/>
      <c r="I6" s="30"/>
      <c r="J6" s="17"/>
      <c r="K6" s="17"/>
      <c r="L6" s="17"/>
      <c r="M6" s="17"/>
      <c r="V6" t="s">
        <v>57</v>
      </c>
      <c r="W6" s="38">
        <f>+J17</f>
        <v>2.2744917473457065E-2</v>
      </c>
    </row>
    <row r="7" spans="1:34" ht="18.75">
      <c r="A7" s="17"/>
      <c r="B7" s="17" t="s">
        <v>67</v>
      </c>
      <c r="E7" s="17">
        <v>400</v>
      </c>
      <c r="F7" s="30" t="s">
        <v>66</v>
      </c>
      <c r="G7" s="30"/>
      <c r="H7" s="30"/>
      <c r="I7" s="30"/>
      <c r="J7" s="17"/>
      <c r="K7" s="17"/>
      <c r="L7" s="17"/>
      <c r="M7" s="17"/>
      <c r="V7" t="s">
        <v>67</v>
      </c>
      <c r="W7" s="38">
        <f>+K17</f>
        <v>9.019948273884168E-2</v>
      </c>
      <c r="Z7" t="s">
        <v>6</v>
      </c>
      <c r="AA7" t="s">
        <v>7</v>
      </c>
    </row>
    <row r="8" spans="1:34" ht="18.75">
      <c r="A8" s="17"/>
      <c r="B8" s="17"/>
      <c r="E8" s="17"/>
      <c r="F8" s="17"/>
      <c r="G8" s="17"/>
      <c r="H8" s="17"/>
      <c r="I8" s="17"/>
      <c r="J8" s="17"/>
      <c r="K8" s="17"/>
      <c r="L8" s="17"/>
      <c r="M8" s="17"/>
      <c r="V8" t="s">
        <v>59</v>
      </c>
      <c r="W8" s="38">
        <f>+L17</f>
        <v>7.6352160745342762E-2</v>
      </c>
    </row>
    <row r="9" spans="1:34" ht="40.5" customHeight="1">
      <c r="A9" s="17"/>
      <c r="B9" s="17"/>
      <c r="C9" s="35" t="s">
        <v>21</v>
      </c>
      <c r="D9" s="17"/>
      <c r="E9" s="36" t="s">
        <v>55</v>
      </c>
      <c r="F9" s="36" t="s">
        <v>56</v>
      </c>
      <c r="G9" s="36" t="s">
        <v>60</v>
      </c>
      <c r="H9" s="36" t="s">
        <v>68</v>
      </c>
      <c r="I9" s="36" t="s">
        <v>42</v>
      </c>
      <c r="J9" s="36" t="s">
        <v>57</v>
      </c>
      <c r="K9" s="36" t="s">
        <v>58</v>
      </c>
      <c r="L9" s="36" t="s">
        <v>59</v>
      </c>
      <c r="M9" s="36" t="s">
        <v>7</v>
      </c>
      <c r="Z9" t="s">
        <v>8</v>
      </c>
    </row>
    <row r="10" spans="1:34" ht="18.75">
      <c r="A10" s="17"/>
      <c r="B10" s="17"/>
      <c r="C10" s="35"/>
      <c r="D10" s="17"/>
      <c r="E10" s="36" t="s">
        <v>64</v>
      </c>
      <c r="F10" s="35" t="s">
        <v>65</v>
      </c>
      <c r="G10" s="35"/>
      <c r="H10" s="35"/>
      <c r="I10" s="35" t="s">
        <v>65</v>
      </c>
      <c r="J10" s="35" t="s">
        <v>65</v>
      </c>
      <c r="K10" s="35" t="s">
        <v>65</v>
      </c>
      <c r="L10" s="35" t="s">
        <v>65</v>
      </c>
      <c r="M10" s="35" t="s">
        <v>65</v>
      </c>
    </row>
    <row r="11" spans="1:34" ht="18.75">
      <c r="A11" s="17"/>
      <c r="B11" s="17" t="s">
        <v>33</v>
      </c>
      <c r="C11" s="17">
        <f>+'Investment cost'!C7</f>
        <v>50</v>
      </c>
      <c r="D11" s="17" t="s">
        <v>0</v>
      </c>
      <c r="E11" s="31">
        <v>20</v>
      </c>
      <c r="F11" s="17">
        <f>+'Investment cost'!G7/'Annual cost'!E11*1000</f>
        <v>1000</v>
      </c>
      <c r="G11" s="29">
        <v>0.87</v>
      </c>
      <c r="H11" s="29">
        <v>0.8</v>
      </c>
      <c r="I11" s="22">
        <f>+'Investment cost'!$C$3*H11*'Cash flow analysis'!F3/G11</f>
        <v>4597.7011494252874</v>
      </c>
      <c r="J11" s="22"/>
      <c r="K11" s="22"/>
      <c r="L11" s="22">
        <f>+'Investment cost'!G7*1000*'Annual cost'!$E$6</f>
        <v>300</v>
      </c>
      <c r="M11" s="22">
        <f>+F11+I11+J11+K11+L11</f>
        <v>5897.7011494252874</v>
      </c>
      <c r="AA11" t="s">
        <v>9</v>
      </c>
    </row>
    <row r="12" spans="1:34" ht="18.75">
      <c r="A12" s="17"/>
      <c r="B12" s="17" t="s">
        <v>19</v>
      </c>
      <c r="C12" s="17">
        <f>+'Investment cost'!C8</f>
        <v>50</v>
      </c>
      <c r="D12" s="17" t="s">
        <v>0</v>
      </c>
      <c r="E12" s="31">
        <v>20</v>
      </c>
      <c r="F12" s="17">
        <f>+'Investment cost'!G8/'Annual cost'!E12*1000</f>
        <v>200</v>
      </c>
      <c r="G12" s="29">
        <v>0.96</v>
      </c>
      <c r="H12" s="29">
        <v>0.15</v>
      </c>
      <c r="I12" s="22">
        <f>+'Investment cost'!C3*H12*'Cash flow analysis'!F2/G12</f>
        <v>1562.5</v>
      </c>
      <c r="J12" s="22"/>
      <c r="K12" s="22"/>
      <c r="L12" s="22">
        <f>+'Investment cost'!G8*1000*'Annual cost'!$E$6</f>
        <v>60</v>
      </c>
      <c r="M12" s="22">
        <f>+F12+I12+J12+K12+L12</f>
        <v>1822.5</v>
      </c>
      <c r="Z12">
        <v>10</v>
      </c>
      <c r="AA12">
        <v>0</v>
      </c>
    </row>
    <row r="13" spans="1:34" ht="18.75">
      <c r="A13" s="17"/>
      <c r="B13" s="17" t="s">
        <v>20</v>
      </c>
      <c r="C13" s="17">
        <f>+'Investment cost'!C9</f>
        <v>50</v>
      </c>
      <c r="D13" s="17" t="s">
        <v>0</v>
      </c>
      <c r="E13" s="31">
        <v>20</v>
      </c>
      <c r="F13" s="17">
        <f>+'Investment cost'!G9/'Annual cost'!E13*1000</f>
        <v>200</v>
      </c>
      <c r="G13" s="29">
        <v>0.92</v>
      </c>
      <c r="H13" s="29">
        <v>0.05</v>
      </c>
      <c r="I13" s="22">
        <f>+'Investment cost'!C3*H13*'Cash flow analysis'!F2/G14</f>
        <v>531.91489361702133</v>
      </c>
      <c r="K13" s="22"/>
      <c r="L13" s="22">
        <f>+'Investment cost'!G9*1000*'Annual cost'!$E$6</f>
        <v>60</v>
      </c>
      <c r="M13" s="22">
        <f>+F13+I13+J14+K13+L13</f>
        <v>1041.9148936170213</v>
      </c>
      <c r="Z13">
        <v>25</v>
      </c>
      <c r="AA13">
        <v>1645</v>
      </c>
      <c r="AG13">
        <v>60</v>
      </c>
      <c r="AH13">
        <f>+AA13*AG13</f>
        <v>98700</v>
      </c>
    </row>
    <row r="14" spans="1:34" ht="18.75">
      <c r="A14" s="17"/>
      <c r="B14" s="21" t="s">
        <v>52</v>
      </c>
      <c r="C14" s="22">
        <f>+'Investment cost'!C10</f>
        <v>92.592592592592581</v>
      </c>
      <c r="D14" s="17" t="s">
        <v>3</v>
      </c>
      <c r="E14" s="31">
        <v>40</v>
      </c>
      <c r="F14" s="17">
        <f>+'Investment cost'!G10/'Annual cost'!E14*1000</f>
        <v>578.70370370370358</v>
      </c>
      <c r="G14" s="29">
        <v>0.94</v>
      </c>
      <c r="H14" s="29"/>
      <c r="I14" s="22"/>
      <c r="J14" s="22">
        <f>10*'Investment cost'!C3*'Annual cost'!E2/1000</f>
        <v>250</v>
      </c>
      <c r="K14" s="22">
        <f>+C14*E7/1000*I16/'Investment cost'!C3</f>
        <v>991.42459896923083</v>
      </c>
      <c r="L14" s="22">
        <f>+'Investment cost'!G10*1000*'Annual cost'!$E$6</f>
        <v>347.22222222222217</v>
      </c>
      <c r="M14" s="22">
        <f>+F14+I14+J15+K14+L14</f>
        <v>1917.3505248951565</v>
      </c>
      <c r="Z14">
        <v>32</v>
      </c>
      <c r="AA14">
        <v>2085</v>
      </c>
      <c r="AG14">
        <v>60</v>
      </c>
      <c r="AH14">
        <f t="shared" ref="AH14:AH31" si="0">+AA14*AG14</f>
        <v>125100</v>
      </c>
    </row>
    <row r="15" spans="1:34" ht="18.75">
      <c r="A15" s="17"/>
      <c r="B15" s="23" t="s">
        <v>23</v>
      </c>
      <c r="C15" s="23">
        <f>+'Investment cost'!C11</f>
        <v>120</v>
      </c>
      <c r="D15" s="23" t="s">
        <v>0</v>
      </c>
      <c r="E15" s="32">
        <v>20</v>
      </c>
      <c r="F15" s="23">
        <f>+'Investment cost'!G11/'Annual cost'!E15*1000</f>
        <v>240</v>
      </c>
      <c r="G15" s="34">
        <v>1</v>
      </c>
      <c r="H15" s="34"/>
      <c r="I15" s="24"/>
      <c r="J15" s="24"/>
      <c r="K15" s="24"/>
      <c r="L15" s="24">
        <f>+'Investment cost'!G11*1000*'Annual cost'!$E$6</f>
        <v>72</v>
      </c>
      <c r="M15" s="24">
        <f>+F15+I15+J15+K15+L15</f>
        <v>312</v>
      </c>
    </row>
    <row r="16" spans="1:34" ht="18.75">
      <c r="A16" s="17"/>
      <c r="B16" s="17" t="s">
        <v>70</v>
      </c>
      <c r="C16" s="17"/>
      <c r="D16" s="17"/>
      <c r="E16" s="17"/>
      <c r="F16" s="17">
        <f>SUM(F11:F15)</f>
        <v>2218.7037037037035</v>
      </c>
      <c r="G16" s="17"/>
      <c r="H16" s="37">
        <f>SUM(H11:H15)</f>
        <v>1</v>
      </c>
      <c r="I16" s="22">
        <f>SUM(I11:I15)</f>
        <v>6692.1160430423088</v>
      </c>
      <c r="J16" s="22">
        <f t="shared" ref="J16:M16" si="1">SUM(J11:J15)</f>
        <v>250</v>
      </c>
      <c r="K16" s="22">
        <f t="shared" si="1"/>
        <v>991.42459896923083</v>
      </c>
      <c r="L16" s="22">
        <f t="shared" si="1"/>
        <v>839.22222222222217</v>
      </c>
      <c r="M16" s="22">
        <f t="shared" si="1"/>
        <v>10991.466567937465</v>
      </c>
      <c r="Z16">
        <v>40</v>
      </c>
      <c r="AA16">
        <v>2070</v>
      </c>
      <c r="AC16" s="1"/>
      <c r="AD16" s="2"/>
      <c r="AE16" s="1"/>
      <c r="AF16" s="1"/>
      <c r="AG16" s="3">
        <v>65</v>
      </c>
      <c r="AH16">
        <f t="shared" si="0"/>
        <v>134550</v>
      </c>
    </row>
    <row r="17" spans="2:35" ht="18.75">
      <c r="B17" s="17" t="s">
        <v>71</v>
      </c>
      <c r="F17" s="39">
        <f>+F16/$M$16</f>
        <v>0.20185693055517709</v>
      </c>
      <c r="G17" s="39"/>
      <c r="H17" s="39"/>
      <c r="I17" s="39">
        <f>+I16/$M$16</f>
        <v>0.60884650848718147</v>
      </c>
      <c r="J17" s="39">
        <f>+J16/$M$16</f>
        <v>2.2744917473457065E-2</v>
      </c>
      <c r="K17" s="39">
        <f>+K16/$M$16</f>
        <v>9.019948273884168E-2</v>
      </c>
      <c r="L17" s="39">
        <f>+L16/$M$16</f>
        <v>7.6352160745342762E-2</v>
      </c>
      <c r="M17" s="39">
        <f>+M16/$M$16</f>
        <v>1</v>
      </c>
      <c r="Z17">
        <v>50</v>
      </c>
      <c r="AA17">
        <v>3275</v>
      </c>
      <c r="AC17" s="1">
        <v>50</v>
      </c>
      <c r="AD17" s="1">
        <f t="shared" ref="AD17" si="2">AF17*0.64</f>
        <v>3862.5279999999998</v>
      </c>
      <c r="AE17" s="1">
        <f t="shared" ref="AE17" si="3">AF17*0.36</f>
        <v>2172.672</v>
      </c>
      <c r="AF17" s="4">
        <f>64*82*1.15</f>
        <v>6035.2</v>
      </c>
      <c r="AG17" s="5">
        <f>+AF17/77</f>
        <v>78.379220779220773</v>
      </c>
      <c r="AH17">
        <f t="shared" si="0"/>
        <v>256691.94805194804</v>
      </c>
    </row>
    <row r="18" spans="2:35">
      <c r="Z18">
        <v>65</v>
      </c>
      <c r="AA18">
        <v>3855</v>
      </c>
      <c r="AG18">
        <v>90</v>
      </c>
      <c r="AH18">
        <f t="shared" si="0"/>
        <v>346950</v>
      </c>
    </row>
    <row r="19" spans="2:35">
      <c r="Z19">
        <v>80</v>
      </c>
      <c r="AA19">
        <v>4070</v>
      </c>
      <c r="AC19" s="1">
        <v>80</v>
      </c>
      <c r="AD19" s="1">
        <f t="shared" ref="AD19:AD27" si="4">AF19*0.64</f>
        <v>4828.16</v>
      </c>
      <c r="AE19" s="1">
        <f t="shared" ref="AE19:AE27" si="5">AF19*0.36</f>
        <v>2715.8399999999997</v>
      </c>
      <c r="AF19" s="4">
        <f>80*82*1.15</f>
        <v>7543.9999999999991</v>
      </c>
      <c r="AG19" s="5">
        <f t="shared" ref="AG19:AG27" si="6">+AF19/77</f>
        <v>97.974025974025963</v>
      </c>
      <c r="AH19">
        <f t="shared" si="0"/>
        <v>398754.28571428568</v>
      </c>
    </row>
    <row r="20" spans="2:35" ht="45">
      <c r="B20" s="14" t="s">
        <v>53</v>
      </c>
      <c r="Z20">
        <v>100</v>
      </c>
      <c r="AA20">
        <v>5140</v>
      </c>
      <c r="AC20" s="1">
        <v>100</v>
      </c>
      <c r="AD20" s="1">
        <f t="shared" si="4"/>
        <v>6759.4239999999991</v>
      </c>
      <c r="AE20" s="1">
        <f t="shared" si="5"/>
        <v>3802.1759999999995</v>
      </c>
      <c r="AF20" s="1">
        <f>112*82*1.15</f>
        <v>10561.599999999999</v>
      </c>
      <c r="AG20" s="5">
        <f t="shared" si="6"/>
        <v>137.16363636363636</v>
      </c>
      <c r="AH20">
        <f t="shared" si="0"/>
        <v>705021.09090909082</v>
      </c>
    </row>
    <row r="21" spans="2:35">
      <c r="Z21">
        <v>125</v>
      </c>
      <c r="AA21">
        <v>7585</v>
      </c>
      <c r="AC21" s="1">
        <v>126</v>
      </c>
      <c r="AD21" s="1">
        <f t="shared" si="4"/>
        <v>7543.9999999999991</v>
      </c>
      <c r="AE21" s="1">
        <f t="shared" si="5"/>
        <v>4243.4999999999991</v>
      </c>
      <c r="AF21" s="1">
        <f>125*82*1.15</f>
        <v>11787.499999999998</v>
      </c>
      <c r="AG21" s="5">
        <f t="shared" si="6"/>
        <v>153.08441558441555</v>
      </c>
      <c r="AH21">
        <f t="shared" si="0"/>
        <v>1161145.2922077919</v>
      </c>
    </row>
    <row r="22" spans="2:35">
      <c r="Z22">
        <v>150</v>
      </c>
      <c r="AA22">
        <v>5530</v>
      </c>
      <c r="AC22" s="1">
        <v>150</v>
      </c>
      <c r="AD22" s="1">
        <f t="shared" si="4"/>
        <v>8751.0399999999991</v>
      </c>
      <c r="AE22" s="1">
        <f t="shared" si="5"/>
        <v>4922.4599999999991</v>
      </c>
      <c r="AF22" s="1">
        <f>82*145*1.15</f>
        <v>13673.499999999998</v>
      </c>
      <c r="AG22" s="5">
        <f t="shared" si="6"/>
        <v>177.57792207792207</v>
      </c>
      <c r="AH22">
        <f t="shared" si="0"/>
        <v>982005.90909090906</v>
      </c>
    </row>
    <row r="23" spans="2:35">
      <c r="Z23">
        <v>200</v>
      </c>
      <c r="AA23">
        <v>8710</v>
      </c>
      <c r="AC23" s="1">
        <v>200</v>
      </c>
      <c r="AD23" s="1">
        <f t="shared" si="4"/>
        <v>11466.880000000001</v>
      </c>
      <c r="AE23" s="1">
        <f t="shared" si="5"/>
        <v>6450.12</v>
      </c>
      <c r="AF23" s="1">
        <f>82*190*1.15</f>
        <v>17917</v>
      </c>
      <c r="AG23" s="5">
        <f t="shared" si="6"/>
        <v>232.6883116883117</v>
      </c>
      <c r="AH23">
        <f t="shared" si="0"/>
        <v>2026715.1948051949</v>
      </c>
    </row>
    <row r="24" spans="2:35">
      <c r="Z24">
        <v>250</v>
      </c>
      <c r="AA24">
        <v>5810</v>
      </c>
      <c r="AC24" s="1">
        <v>250</v>
      </c>
      <c r="AD24" s="1">
        <f t="shared" si="4"/>
        <v>15691.519999999999</v>
      </c>
      <c r="AE24" s="1">
        <f t="shared" si="5"/>
        <v>8826.4799999999977</v>
      </c>
      <c r="AF24" s="1">
        <f>82*260*1.15</f>
        <v>24517.999999999996</v>
      </c>
      <c r="AG24" s="5">
        <f t="shared" si="6"/>
        <v>318.41558441558436</v>
      </c>
      <c r="AH24">
        <f t="shared" si="0"/>
        <v>1849994.5454545452</v>
      </c>
    </row>
    <row r="25" spans="2:35">
      <c r="Z25">
        <v>300</v>
      </c>
      <c r="AA25">
        <v>2534</v>
      </c>
      <c r="AC25" s="1">
        <v>300</v>
      </c>
      <c r="AD25" s="1">
        <f t="shared" si="4"/>
        <v>19916.16</v>
      </c>
      <c r="AE25" s="1">
        <f t="shared" si="5"/>
        <v>11202.839999999998</v>
      </c>
      <c r="AF25" s="1">
        <f>82*330*1.15</f>
        <v>31118.999999999996</v>
      </c>
      <c r="AG25" s="5">
        <f t="shared" si="6"/>
        <v>404.14285714285711</v>
      </c>
      <c r="AH25">
        <f t="shared" si="0"/>
        <v>1024097.9999999999</v>
      </c>
    </row>
    <row r="26" spans="2:35">
      <c r="Z26">
        <v>350</v>
      </c>
      <c r="AA26">
        <v>840</v>
      </c>
      <c r="AC26" s="1">
        <v>350</v>
      </c>
      <c r="AD26" s="1">
        <f t="shared" si="4"/>
        <v>22933.760000000002</v>
      </c>
      <c r="AE26" s="1">
        <f t="shared" si="5"/>
        <v>12900.24</v>
      </c>
      <c r="AF26" s="1">
        <f>82*380*1.15</f>
        <v>35834</v>
      </c>
      <c r="AG26" s="5">
        <f t="shared" si="6"/>
        <v>465.3766233766234</v>
      </c>
      <c r="AH26">
        <f t="shared" si="0"/>
        <v>390916.36363636365</v>
      </c>
    </row>
    <row r="27" spans="2:35">
      <c r="Z27">
        <v>400</v>
      </c>
      <c r="AA27">
        <v>2526</v>
      </c>
      <c r="AC27" s="1">
        <v>400</v>
      </c>
      <c r="AD27" s="1">
        <f t="shared" si="4"/>
        <v>27158.400000000001</v>
      </c>
      <c r="AE27" s="1">
        <f t="shared" si="5"/>
        <v>15276.599999999999</v>
      </c>
      <c r="AF27" s="1">
        <f>82*450*1.15</f>
        <v>42435</v>
      </c>
      <c r="AG27" s="5">
        <f t="shared" si="6"/>
        <v>551.10389610389609</v>
      </c>
      <c r="AH27">
        <f t="shared" si="0"/>
        <v>1392088.4415584416</v>
      </c>
    </row>
    <row r="28" spans="2:35">
      <c r="Z28">
        <v>450</v>
      </c>
      <c r="AA28">
        <v>0</v>
      </c>
      <c r="AH28">
        <f t="shared" si="0"/>
        <v>0</v>
      </c>
    </row>
    <row r="29" spans="2:35">
      <c r="Z29">
        <v>500</v>
      </c>
      <c r="AA29">
        <v>0</v>
      </c>
      <c r="AC29" s="1">
        <v>500</v>
      </c>
      <c r="AD29" s="1">
        <f>AF29*0.64</f>
        <v>35607.679999999993</v>
      </c>
      <c r="AE29" s="1">
        <f>AF29*0.36</f>
        <v>20029.319999999996</v>
      </c>
      <c r="AF29" s="1">
        <f>82*590*1.15</f>
        <v>55636.999999999993</v>
      </c>
      <c r="AG29" s="5">
        <f>+AF29/77</f>
        <v>722.55844155844147</v>
      </c>
      <c r="AH29">
        <f t="shared" si="0"/>
        <v>0</v>
      </c>
    </row>
    <row r="30" spans="2:35">
      <c r="Z30">
        <v>550</v>
      </c>
      <c r="AA30">
        <v>460</v>
      </c>
      <c r="AG30">
        <v>900</v>
      </c>
      <c r="AH30">
        <f t="shared" si="0"/>
        <v>414000</v>
      </c>
    </row>
    <row r="31" spans="2:35">
      <c r="Z31">
        <v>600</v>
      </c>
      <c r="AA31">
        <v>0</v>
      </c>
      <c r="AH31">
        <f t="shared" si="0"/>
        <v>0</v>
      </c>
    </row>
    <row r="32" spans="2:35">
      <c r="Z32" t="s">
        <v>7</v>
      </c>
      <c r="AA32">
        <v>56135</v>
      </c>
      <c r="AH32">
        <f>SUM(AH13:AH31)</f>
        <v>11306731.071428569</v>
      </c>
      <c r="AI32">
        <f>+AH32*100/56</f>
        <v>20190591.198979586</v>
      </c>
    </row>
    <row r="33" spans="35:35">
      <c r="AI33">
        <f>+AI32/1000000</f>
        <v>20.190591198979586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Normal="100" workbookViewId="0">
      <selection activeCell="C2" sqref="C2:H4"/>
    </sheetView>
  </sheetViews>
  <sheetFormatPr defaultRowHeight="15"/>
  <cols>
    <col min="1" max="1" width="3.7109375" customWidth="1"/>
    <col min="2" max="2" width="3.85546875" customWidth="1"/>
    <col min="3" max="3" width="20" customWidth="1"/>
    <col min="5" max="8" width="5.7109375" customWidth="1"/>
    <col min="9" max="9" width="5.85546875" customWidth="1"/>
    <col min="10" max="10" width="4.7109375" customWidth="1"/>
    <col min="11" max="11" width="5.28515625" customWidth="1"/>
    <col min="12" max="12" width="5.7109375" customWidth="1"/>
    <col min="13" max="13" width="6" customWidth="1"/>
    <col min="14" max="14" width="5.42578125" customWidth="1"/>
    <col min="15" max="15" width="4.85546875" customWidth="1"/>
    <col min="16" max="16" width="5.42578125" customWidth="1"/>
    <col min="17" max="17" width="4.85546875" customWidth="1"/>
    <col min="18" max="18" width="7.5703125" customWidth="1"/>
  </cols>
  <sheetData>
    <row r="1" spans="1:18">
      <c r="A1" t="s">
        <v>32</v>
      </c>
    </row>
    <row r="2" spans="1:18">
      <c r="C2" t="s">
        <v>34</v>
      </c>
      <c r="F2">
        <v>40</v>
      </c>
      <c r="G2" t="s">
        <v>11</v>
      </c>
    </row>
    <row r="3" spans="1:18">
      <c r="C3" t="s">
        <v>35</v>
      </c>
      <c r="F3">
        <v>20</v>
      </c>
      <c r="G3" t="s">
        <v>11</v>
      </c>
    </row>
    <row r="4" spans="1:18">
      <c r="C4" t="s">
        <v>36</v>
      </c>
      <c r="F4">
        <v>45</v>
      </c>
      <c r="G4" t="s">
        <v>50</v>
      </c>
    </row>
    <row r="5" spans="1:18">
      <c r="C5" t="s">
        <v>37</v>
      </c>
      <c r="F5" s="6">
        <f>+'Investment cost'!G7</f>
        <v>20</v>
      </c>
      <c r="G5" t="s">
        <v>5</v>
      </c>
    </row>
    <row r="6" spans="1:18">
      <c r="C6" t="s">
        <v>38</v>
      </c>
      <c r="F6" s="7">
        <v>12</v>
      </c>
      <c r="G6" t="s">
        <v>51</v>
      </c>
      <c r="I6" s="15" t="s">
        <v>39</v>
      </c>
    </row>
    <row r="7" spans="1:18" ht="11.25" customHeight="1"/>
    <row r="8" spans="1:18">
      <c r="E8" s="11">
        <v>2012</v>
      </c>
      <c r="F8" s="11">
        <f>+E8+1</f>
        <v>2013</v>
      </c>
      <c r="G8" s="11">
        <f t="shared" ref="G8:R8" si="0">+F8+1</f>
        <v>2014</v>
      </c>
      <c r="H8" s="11">
        <f t="shared" si="0"/>
        <v>2015</v>
      </c>
      <c r="I8" s="11">
        <f t="shared" si="0"/>
        <v>2016</v>
      </c>
      <c r="J8" s="11">
        <f t="shared" si="0"/>
        <v>2017</v>
      </c>
      <c r="K8" s="11">
        <f t="shared" si="0"/>
        <v>2018</v>
      </c>
      <c r="L8" s="11">
        <f t="shared" si="0"/>
        <v>2019</v>
      </c>
      <c r="M8" s="11">
        <f t="shared" si="0"/>
        <v>2020</v>
      </c>
      <c r="N8" s="11">
        <f t="shared" si="0"/>
        <v>2021</v>
      </c>
      <c r="O8" s="11">
        <f t="shared" si="0"/>
        <v>2022</v>
      </c>
      <c r="P8" s="11">
        <f t="shared" si="0"/>
        <v>2023</v>
      </c>
      <c r="Q8" s="11">
        <f t="shared" si="0"/>
        <v>2024</v>
      </c>
      <c r="R8" s="11">
        <f t="shared" si="0"/>
        <v>2025</v>
      </c>
    </row>
    <row r="9" spans="1:18">
      <c r="A9" t="s">
        <v>40</v>
      </c>
      <c r="D9" t="s">
        <v>2</v>
      </c>
      <c r="E9">
        <f>+'Investment cost'!C3*0.7</f>
        <v>175</v>
      </c>
      <c r="F9">
        <f>+E9</f>
        <v>175</v>
      </c>
      <c r="G9">
        <f t="shared" ref="G9:R9" si="1">+F9</f>
        <v>175</v>
      </c>
      <c r="H9">
        <f t="shared" si="1"/>
        <v>175</v>
      </c>
      <c r="I9">
        <f t="shared" si="1"/>
        <v>175</v>
      </c>
      <c r="J9">
        <f t="shared" si="1"/>
        <v>175</v>
      </c>
      <c r="K9">
        <f t="shared" si="1"/>
        <v>175</v>
      </c>
      <c r="L9">
        <f t="shared" si="1"/>
        <v>175</v>
      </c>
      <c r="M9">
        <f t="shared" si="1"/>
        <v>175</v>
      </c>
      <c r="N9">
        <f t="shared" si="1"/>
        <v>175</v>
      </c>
      <c r="O9">
        <f t="shared" si="1"/>
        <v>175</v>
      </c>
      <c r="P9">
        <f t="shared" si="1"/>
        <v>175</v>
      </c>
      <c r="Q9">
        <f t="shared" si="1"/>
        <v>175</v>
      </c>
      <c r="R9">
        <f t="shared" si="1"/>
        <v>175</v>
      </c>
    </row>
    <row r="10" spans="1:18" ht="19.5" customHeight="1">
      <c r="A10" t="s">
        <v>41</v>
      </c>
    </row>
    <row r="11" spans="1:18">
      <c r="B11" t="s">
        <v>42</v>
      </c>
      <c r="D11" t="s">
        <v>5</v>
      </c>
      <c r="F11" s="6">
        <f>+F9*F13/F12/1000</f>
        <v>4.1176470588235299</v>
      </c>
      <c r="G11" s="6">
        <f t="shared" ref="G11:R11" si="2">+G9*G13/G12/1000</f>
        <v>4.1176470588235299</v>
      </c>
      <c r="H11" s="6">
        <f t="shared" si="2"/>
        <v>4.1176470588235299</v>
      </c>
      <c r="I11" s="6">
        <f t="shared" si="2"/>
        <v>4.1176470588235299</v>
      </c>
      <c r="J11" s="6">
        <f t="shared" si="2"/>
        <v>4.1176470588235299</v>
      </c>
      <c r="K11" s="6">
        <f t="shared" si="2"/>
        <v>4.1176470588235299</v>
      </c>
      <c r="L11" s="6">
        <f t="shared" si="2"/>
        <v>4.1176470588235299</v>
      </c>
      <c r="M11" s="6">
        <f t="shared" si="2"/>
        <v>4.1176470588235299</v>
      </c>
      <c r="N11" s="6">
        <f t="shared" si="2"/>
        <v>4.1176470588235299</v>
      </c>
      <c r="O11" s="6">
        <f t="shared" si="2"/>
        <v>4.1176470588235299</v>
      </c>
      <c r="P11" s="6">
        <f t="shared" si="2"/>
        <v>4.1176470588235299</v>
      </c>
      <c r="Q11" s="6">
        <f t="shared" si="2"/>
        <v>4.1176470588235299</v>
      </c>
      <c r="R11" s="6">
        <f t="shared" si="2"/>
        <v>4.1176470588235299</v>
      </c>
    </row>
    <row r="12" spans="1:18">
      <c r="C12" t="s">
        <v>43</v>
      </c>
      <c r="F12" s="8">
        <v>0.85</v>
      </c>
      <c r="G12" s="8">
        <v>0.85</v>
      </c>
      <c r="H12" s="8">
        <v>0.85</v>
      </c>
      <c r="I12" s="8">
        <v>0.85</v>
      </c>
      <c r="J12" s="8">
        <v>0.85</v>
      </c>
      <c r="K12" s="8">
        <v>0.85</v>
      </c>
      <c r="L12" s="8">
        <v>0.85</v>
      </c>
      <c r="M12" s="8">
        <v>0.85</v>
      </c>
      <c r="N12" s="8">
        <v>0.85</v>
      </c>
      <c r="O12" s="8">
        <v>0.85</v>
      </c>
      <c r="P12" s="8">
        <v>0.85</v>
      </c>
      <c r="Q12" s="8">
        <v>0.85</v>
      </c>
      <c r="R12" s="8">
        <v>0.85</v>
      </c>
    </row>
    <row r="13" spans="1:18">
      <c r="C13" t="s">
        <v>44</v>
      </c>
      <c r="D13" t="str">
        <f>+G3</f>
        <v>€/MWh</v>
      </c>
      <c r="F13">
        <f>+$F$3</f>
        <v>20</v>
      </c>
      <c r="G13">
        <f t="shared" ref="G13:R13" si="3">+$F$3</f>
        <v>20</v>
      </c>
      <c r="H13">
        <f t="shared" si="3"/>
        <v>20</v>
      </c>
      <c r="I13">
        <f t="shared" si="3"/>
        <v>20</v>
      </c>
      <c r="J13">
        <f t="shared" si="3"/>
        <v>20</v>
      </c>
      <c r="K13">
        <f t="shared" si="3"/>
        <v>20</v>
      </c>
      <c r="L13">
        <f t="shared" si="3"/>
        <v>20</v>
      </c>
      <c r="M13">
        <f t="shared" si="3"/>
        <v>20</v>
      </c>
      <c r="N13">
        <f t="shared" si="3"/>
        <v>20</v>
      </c>
      <c r="O13">
        <f t="shared" si="3"/>
        <v>20</v>
      </c>
      <c r="P13">
        <f t="shared" si="3"/>
        <v>20</v>
      </c>
      <c r="Q13">
        <f t="shared" si="3"/>
        <v>20</v>
      </c>
      <c r="R13">
        <f t="shared" si="3"/>
        <v>20</v>
      </c>
    </row>
    <row r="14" spans="1:18">
      <c r="B14" t="s">
        <v>45</v>
      </c>
      <c r="D14" t="str">
        <f>+D11</f>
        <v>M€</v>
      </c>
      <c r="F14" s="6">
        <f>+$F$4*F15/1000</f>
        <v>0.54</v>
      </c>
      <c r="G14" s="6">
        <f t="shared" ref="G14:R14" si="4">+$F$4*G15/1000</f>
        <v>0.54</v>
      </c>
      <c r="H14" s="6">
        <f t="shared" si="4"/>
        <v>0.54</v>
      </c>
      <c r="I14" s="6">
        <f t="shared" si="4"/>
        <v>0.54</v>
      </c>
      <c r="J14" s="6">
        <f t="shared" si="4"/>
        <v>0.54</v>
      </c>
      <c r="K14" s="6">
        <f t="shared" si="4"/>
        <v>0.54</v>
      </c>
      <c r="L14" s="6">
        <f t="shared" si="4"/>
        <v>0.54</v>
      </c>
      <c r="M14" s="6">
        <f t="shared" si="4"/>
        <v>0.54</v>
      </c>
      <c r="N14" s="6">
        <f t="shared" si="4"/>
        <v>0.54</v>
      </c>
      <c r="O14" s="6">
        <f t="shared" si="4"/>
        <v>0.54</v>
      </c>
      <c r="P14" s="6">
        <f t="shared" si="4"/>
        <v>0.54</v>
      </c>
      <c r="Q14" s="6">
        <f t="shared" si="4"/>
        <v>0.54</v>
      </c>
      <c r="R14" s="6">
        <f t="shared" si="4"/>
        <v>0.54</v>
      </c>
    </row>
    <row r="15" spans="1:18">
      <c r="D15" t="s">
        <v>51</v>
      </c>
      <c r="F15" s="7">
        <f>+$F$6</f>
        <v>12</v>
      </c>
      <c r="G15" s="7">
        <f t="shared" ref="G15:R15" si="5">+$F$6</f>
        <v>12</v>
      </c>
      <c r="H15" s="7">
        <f t="shared" si="5"/>
        <v>12</v>
      </c>
      <c r="I15" s="7">
        <f t="shared" si="5"/>
        <v>12</v>
      </c>
      <c r="J15" s="7">
        <f t="shared" si="5"/>
        <v>12</v>
      </c>
      <c r="K15" s="7">
        <f t="shared" si="5"/>
        <v>12</v>
      </c>
      <c r="L15" s="7">
        <f t="shared" si="5"/>
        <v>12</v>
      </c>
      <c r="M15" s="7">
        <f t="shared" si="5"/>
        <v>12</v>
      </c>
      <c r="N15" s="7">
        <f t="shared" si="5"/>
        <v>12</v>
      </c>
      <c r="O15" s="7">
        <f t="shared" si="5"/>
        <v>12</v>
      </c>
      <c r="P15" s="7">
        <f t="shared" si="5"/>
        <v>12</v>
      </c>
      <c r="Q15" s="7">
        <f t="shared" si="5"/>
        <v>12</v>
      </c>
      <c r="R15" s="7">
        <f t="shared" si="5"/>
        <v>12</v>
      </c>
    </row>
    <row r="16" spans="1:18">
      <c r="B16" t="s">
        <v>46</v>
      </c>
      <c r="E16" s="6">
        <f>+'Investment cost'!G7</f>
        <v>20</v>
      </c>
    </row>
    <row r="17" spans="1:18">
      <c r="A17" t="s">
        <v>47</v>
      </c>
    </row>
    <row r="18" spans="1:18">
      <c r="B18" t="str">
        <f>+B11</f>
        <v>Fuel costs</v>
      </c>
      <c r="D18" t="s">
        <v>5</v>
      </c>
      <c r="F18" s="6">
        <f t="shared" ref="F18:R18" si="6">F9*F20/F19/1000</f>
        <v>7.5268817204301071</v>
      </c>
      <c r="G18" s="6">
        <f t="shared" si="6"/>
        <v>7.5268817204301071</v>
      </c>
      <c r="H18" s="6">
        <f t="shared" si="6"/>
        <v>7.5268817204301071</v>
      </c>
      <c r="I18" s="6">
        <f t="shared" si="6"/>
        <v>7.5268817204301071</v>
      </c>
      <c r="J18" s="6">
        <f t="shared" si="6"/>
        <v>7.5268817204301071</v>
      </c>
      <c r="K18" s="6">
        <f t="shared" si="6"/>
        <v>7.5268817204301071</v>
      </c>
      <c r="L18" s="6">
        <f t="shared" si="6"/>
        <v>7.5268817204301071</v>
      </c>
      <c r="M18" s="6">
        <f t="shared" si="6"/>
        <v>7.5268817204301071</v>
      </c>
      <c r="N18" s="6">
        <f t="shared" si="6"/>
        <v>7.5268817204301071</v>
      </c>
      <c r="O18" s="6">
        <f t="shared" si="6"/>
        <v>7.5268817204301071</v>
      </c>
      <c r="P18" s="6">
        <f t="shared" si="6"/>
        <v>7.5268817204301071</v>
      </c>
      <c r="Q18" s="6">
        <f t="shared" si="6"/>
        <v>7.5268817204301071</v>
      </c>
      <c r="R18" s="6">
        <f t="shared" si="6"/>
        <v>7.5268817204301071</v>
      </c>
    </row>
    <row r="19" spans="1:18">
      <c r="C19" t="str">
        <f>+C12</f>
        <v>Efficiency of boiler</v>
      </c>
      <c r="F19" s="8">
        <v>0.93</v>
      </c>
      <c r="G19" s="8">
        <f>+F19</f>
        <v>0.93</v>
      </c>
      <c r="H19" s="8">
        <f t="shared" ref="H19:R19" si="7">+G19</f>
        <v>0.93</v>
      </c>
      <c r="I19" s="8">
        <f t="shared" si="7"/>
        <v>0.93</v>
      </c>
      <c r="J19" s="8">
        <f t="shared" si="7"/>
        <v>0.93</v>
      </c>
      <c r="K19" s="8">
        <f t="shared" si="7"/>
        <v>0.93</v>
      </c>
      <c r="L19" s="8">
        <f t="shared" si="7"/>
        <v>0.93</v>
      </c>
      <c r="M19" s="8">
        <f t="shared" si="7"/>
        <v>0.93</v>
      </c>
      <c r="N19" s="8">
        <f t="shared" si="7"/>
        <v>0.93</v>
      </c>
      <c r="O19" s="8">
        <f t="shared" si="7"/>
        <v>0.93</v>
      </c>
      <c r="P19" s="8">
        <f t="shared" si="7"/>
        <v>0.93</v>
      </c>
      <c r="Q19" s="8">
        <f t="shared" si="7"/>
        <v>0.93</v>
      </c>
      <c r="R19" s="8">
        <f t="shared" si="7"/>
        <v>0.93</v>
      </c>
    </row>
    <row r="20" spans="1:18">
      <c r="C20" t="str">
        <f>+C13</f>
        <v>Fuel price</v>
      </c>
      <c r="D20" t="str">
        <f>+G2</f>
        <v>€/MWh</v>
      </c>
      <c r="F20">
        <f>+$F$2</f>
        <v>40</v>
      </c>
      <c r="G20">
        <f t="shared" ref="G20:R20" si="8">+$F$2</f>
        <v>40</v>
      </c>
      <c r="H20">
        <f t="shared" si="8"/>
        <v>40</v>
      </c>
      <c r="I20">
        <f t="shared" si="8"/>
        <v>40</v>
      </c>
      <c r="J20">
        <f t="shared" si="8"/>
        <v>40</v>
      </c>
      <c r="K20">
        <f t="shared" si="8"/>
        <v>40</v>
      </c>
      <c r="L20">
        <f t="shared" si="8"/>
        <v>40</v>
      </c>
      <c r="M20">
        <f t="shared" si="8"/>
        <v>40</v>
      </c>
      <c r="N20">
        <f t="shared" si="8"/>
        <v>40</v>
      </c>
      <c r="O20">
        <f t="shared" si="8"/>
        <v>40</v>
      </c>
      <c r="P20">
        <f t="shared" si="8"/>
        <v>40</v>
      </c>
      <c r="Q20">
        <f t="shared" si="8"/>
        <v>40</v>
      </c>
      <c r="R20">
        <f t="shared" si="8"/>
        <v>40</v>
      </c>
    </row>
    <row r="21" spans="1:18">
      <c r="B21" t="str">
        <f>+B14</f>
        <v>Incremental staff costs</v>
      </c>
      <c r="D21" t="s">
        <v>12</v>
      </c>
      <c r="F21">
        <f>+$F$4*F22/1000</f>
        <v>0</v>
      </c>
      <c r="G21">
        <f t="shared" ref="G21:R21" si="9">+$F$4*G22/1000</f>
        <v>0</v>
      </c>
      <c r="H21">
        <f t="shared" si="9"/>
        <v>0</v>
      </c>
      <c r="I21">
        <f t="shared" si="9"/>
        <v>0</v>
      </c>
      <c r="J21">
        <f t="shared" si="9"/>
        <v>0</v>
      </c>
      <c r="K21">
        <f t="shared" si="9"/>
        <v>0</v>
      </c>
      <c r="L21">
        <f t="shared" si="9"/>
        <v>0</v>
      </c>
      <c r="M21">
        <f t="shared" si="9"/>
        <v>0</v>
      </c>
      <c r="N21">
        <f t="shared" si="9"/>
        <v>0</v>
      </c>
      <c r="O21">
        <f t="shared" si="9"/>
        <v>0</v>
      </c>
      <c r="P21">
        <f t="shared" si="9"/>
        <v>0</v>
      </c>
      <c r="Q21">
        <f t="shared" si="9"/>
        <v>0</v>
      </c>
      <c r="R21">
        <f t="shared" si="9"/>
        <v>0</v>
      </c>
    </row>
    <row r="22" spans="1:18">
      <c r="D22" t="str">
        <f>+D15</f>
        <v>persons</v>
      </c>
      <c r="F22">
        <v>0</v>
      </c>
      <c r="G22">
        <f>+F22</f>
        <v>0</v>
      </c>
      <c r="H22">
        <f t="shared" ref="H22:R22" si="10">+G22</f>
        <v>0</v>
      </c>
      <c r="I22">
        <f t="shared" si="10"/>
        <v>0</v>
      </c>
      <c r="J22">
        <f t="shared" si="10"/>
        <v>0</v>
      </c>
      <c r="K22">
        <f t="shared" si="10"/>
        <v>0</v>
      </c>
      <c r="L22">
        <f t="shared" si="10"/>
        <v>0</v>
      </c>
      <c r="M22">
        <f t="shared" si="10"/>
        <v>0</v>
      </c>
      <c r="N22">
        <f t="shared" si="10"/>
        <v>0</v>
      </c>
      <c r="O22">
        <f t="shared" si="10"/>
        <v>0</v>
      </c>
      <c r="P22">
        <f t="shared" si="10"/>
        <v>0</v>
      </c>
      <c r="Q22">
        <f t="shared" si="10"/>
        <v>0</v>
      </c>
      <c r="R22">
        <f t="shared" si="10"/>
        <v>0</v>
      </c>
    </row>
    <row r="23" spans="1:18">
      <c r="A23" t="s">
        <v>48</v>
      </c>
      <c r="D23" t="str">
        <f>+D14</f>
        <v>M€</v>
      </c>
      <c r="E23" s="6">
        <f t="shared" ref="E23:R23" si="11">-E11-E14-E16+E18+E21</f>
        <v>-20</v>
      </c>
      <c r="F23" s="6">
        <f t="shared" si="11"/>
        <v>2.8692346616065771</v>
      </c>
      <c r="G23" s="6">
        <f t="shared" si="11"/>
        <v>2.8692346616065771</v>
      </c>
      <c r="H23" s="6">
        <f t="shared" si="11"/>
        <v>2.8692346616065771</v>
      </c>
      <c r="I23" s="6">
        <f t="shared" si="11"/>
        <v>2.8692346616065771</v>
      </c>
      <c r="J23" s="6">
        <f t="shared" si="11"/>
        <v>2.8692346616065771</v>
      </c>
      <c r="K23" s="6">
        <f t="shared" si="11"/>
        <v>2.8692346616065771</v>
      </c>
      <c r="L23" s="6">
        <f t="shared" si="11"/>
        <v>2.8692346616065771</v>
      </c>
      <c r="M23" s="6">
        <f t="shared" si="11"/>
        <v>2.8692346616065771</v>
      </c>
      <c r="N23" s="6">
        <f t="shared" si="11"/>
        <v>2.8692346616065771</v>
      </c>
      <c r="O23" s="6">
        <f t="shared" si="11"/>
        <v>2.8692346616065771</v>
      </c>
      <c r="P23" s="6">
        <f t="shared" si="11"/>
        <v>2.8692346616065771</v>
      </c>
      <c r="Q23" s="6">
        <f t="shared" si="11"/>
        <v>2.8692346616065771</v>
      </c>
      <c r="R23" s="6">
        <f t="shared" si="11"/>
        <v>2.8692346616065771</v>
      </c>
    </row>
    <row r="24" spans="1:18">
      <c r="A24" t="s">
        <v>49</v>
      </c>
      <c r="D24" s="12" t="s">
        <v>13</v>
      </c>
      <c r="E24" s="13">
        <f>IRR(E23:R23,0.2)</f>
        <v>0.10366428616979997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9"/>
  <sheetViews>
    <sheetView showGridLines="0" zoomScale="170" zoomScaleNormal="170" workbookViewId="0">
      <selection activeCell="G7" sqref="G7"/>
    </sheetView>
  </sheetViews>
  <sheetFormatPr defaultRowHeight="15"/>
  <cols>
    <col min="1" max="1" width="2.5703125" customWidth="1"/>
    <col min="2" max="2" width="17.7109375" customWidth="1"/>
    <col min="3" max="3" width="16.140625" customWidth="1"/>
  </cols>
  <sheetData>
    <row r="2" spans="1:4">
      <c r="A2" s="11" t="s">
        <v>26</v>
      </c>
    </row>
    <row r="4" spans="1:4">
      <c r="B4" t="s">
        <v>27</v>
      </c>
      <c r="C4" s="9">
        <f>+'Investment cost'!G12*1000000</f>
        <v>55948148.148148142</v>
      </c>
      <c r="D4" s="9" t="s">
        <v>10</v>
      </c>
    </row>
    <row r="5" spans="1:4">
      <c r="B5" t="s">
        <v>28</v>
      </c>
      <c r="C5" s="8">
        <v>0.1</v>
      </c>
    </row>
    <row r="6" spans="1:4">
      <c r="B6" t="s">
        <v>29</v>
      </c>
      <c r="C6">
        <v>20</v>
      </c>
      <c r="D6" t="s">
        <v>30</v>
      </c>
    </row>
    <row r="8" spans="1:4">
      <c r="B8" t="s">
        <v>25</v>
      </c>
      <c r="C8" s="10">
        <f>-PMT(C5,C6,C4)</f>
        <v>6571648.4882002817</v>
      </c>
    </row>
    <row r="9" spans="1:4">
      <c r="C9" s="8">
        <f>+C8/C4</f>
        <v>0.11745962477254576</v>
      </c>
      <c r="D9" t="s">
        <v>31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3:N28"/>
  <sheetViews>
    <sheetView tabSelected="1" workbookViewId="0">
      <selection activeCell="F2" sqref="F2"/>
    </sheetView>
  </sheetViews>
  <sheetFormatPr defaultRowHeight="15"/>
  <cols>
    <col min="2" max="2" width="3.42578125" customWidth="1"/>
    <col min="3" max="3" width="16.42578125" customWidth="1"/>
    <col min="12" max="12" width="11.42578125" customWidth="1"/>
  </cols>
  <sheetData>
    <row r="3" spans="2:13">
      <c r="E3" t="s">
        <v>93</v>
      </c>
      <c r="F3" t="s">
        <v>92</v>
      </c>
      <c r="G3" t="s">
        <v>91</v>
      </c>
    </row>
    <row r="4" spans="2:13">
      <c r="B4" t="s">
        <v>90</v>
      </c>
      <c r="D4" s="40" t="s">
        <v>0</v>
      </c>
      <c r="E4">
        <v>2000</v>
      </c>
      <c r="F4">
        <v>2000</v>
      </c>
      <c r="G4">
        <v>2000</v>
      </c>
      <c r="K4" t="str">
        <f>+E3</f>
        <v>Kl</v>
      </c>
      <c r="L4" t="str">
        <f>+F3</f>
        <v>hp</v>
      </c>
      <c r="M4" t="str">
        <f>+G3</f>
        <v>gas h</v>
      </c>
    </row>
    <row r="5" spans="2:13">
      <c r="B5" t="s">
        <v>77</v>
      </c>
      <c r="D5" s="40" t="s">
        <v>2</v>
      </c>
      <c r="E5">
        <v>5000</v>
      </c>
      <c r="F5">
        <v>5000</v>
      </c>
      <c r="G5">
        <v>5000</v>
      </c>
      <c r="K5">
        <f>+E12*0.1</f>
        <v>37</v>
      </c>
      <c r="L5">
        <f>+F12*0.1</f>
        <v>25.714285714285719</v>
      </c>
      <c r="M5">
        <f>+G12*0.1</f>
        <v>21</v>
      </c>
    </row>
    <row r="6" spans="2:13">
      <c r="B6" t="s">
        <v>89</v>
      </c>
      <c r="D6" s="40"/>
      <c r="K6">
        <f>+E17</f>
        <v>50</v>
      </c>
      <c r="L6">
        <f>+F17</f>
        <v>150</v>
      </c>
      <c r="M6">
        <f>+G17</f>
        <v>100</v>
      </c>
    </row>
    <row r="7" spans="2:13">
      <c r="C7" t="s">
        <v>88</v>
      </c>
      <c r="D7" s="40" t="s">
        <v>76</v>
      </c>
      <c r="E7">
        <f>+E4*(300+70)/2000</f>
        <v>370</v>
      </c>
      <c r="G7">
        <f>+G4*70*1.5/1000</f>
        <v>210</v>
      </c>
    </row>
    <row r="8" spans="2:13">
      <c r="C8" t="s">
        <v>87</v>
      </c>
      <c r="D8" s="40"/>
      <c r="F8">
        <f>+F11*F4*1.5/1000/3.5</f>
        <v>257.14285714285717</v>
      </c>
    </row>
    <row r="9" spans="2:13">
      <c r="C9" t="s">
        <v>86</v>
      </c>
      <c r="D9" s="40"/>
      <c r="J9" t="s">
        <v>74</v>
      </c>
      <c r="K9" s="41" t="s">
        <v>85</v>
      </c>
      <c r="L9" s="41" t="s">
        <v>84</v>
      </c>
      <c r="M9" s="41" t="s">
        <v>83</v>
      </c>
    </row>
    <row r="10" spans="2:13">
      <c r="C10" t="s">
        <v>82</v>
      </c>
      <c r="D10" s="40" t="s">
        <v>1</v>
      </c>
      <c r="E10">
        <v>300</v>
      </c>
      <c r="F10">
        <v>50</v>
      </c>
      <c r="G10">
        <v>50</v>
      </c>
      <c r="J10">
        <f t="shared" ref="J10:J17" si="0">+D21</f>
        <v>1</v>
      </c>
      <c r="K10" s="7">
        <f t="shared" ref="K10:K17" si="1">+$K$5+$K$6+E$10*E21*0.1/1000-20</f>
        <v>217</v>
      </c>
      <c r="L10" s="7">
        <f t="shared" ref="L10:L17" si="2">+$L$5+$L$6+F$10*F21*0.1/1000-30</f>
        <v>170.71428571428572</v>
      </c>
      <c r="M10" s="7">
        <f t="shared" ref="M10:M17" si="3">+$M$5+$M$6+G$10*G21*0.1/1000</f>
        <v>146</v>
      </c>
    </row>
    <row r="11" spans="2:13">
      <c r="C11" t="s">
        <v>81</v>
      </c>
      <c r="D11" s="40" t="s">
        <v>4</v>
      </c>
      <c r="E11">
        <f>15/0.6</f>
        <v>25</v>
      </c>
      <c r="F11">
        <v>300</v>
      </c>
      <c r="J11">
        <f t="shared" si="0"/>
        <v>2</v>
      </c>
      <c r="K11" s="7">
        <f t="shared" si="1"/>
        <v>142</v>
      </c>
      <c r="L11" s="7">
        <f t="shared" si="2"/>
        <v>158.21428571428572</v>
      </c>
      <c r="M11" s="7">
        <f t="shared" si="3"/>
        <v>133.5</v>
      </c>
    </row>
    <row r="12" spans="2:13">
      <c r="D12" s="40"/>
      <c r="E12">
        <f>+E7+E8</f>
        <v>370</v>
      </c>
      <c r="F12">
        <f>+F7+F8</f>
        <v>257.14285714285717</v>
      </c>
      <c r="G12">
        <f>+G7+G8</f>
        <v>210</v>
      </c>
      <c r="J12">
        <f t="shared" si="0"/>
        <v>3</v>
      </c>
      <c r="K12" s="7">
        <f t="shared" si="1"/>
        <v>117</v>
      </c>
      <c r="L12" s="7">
        <f t="shared" si="2"/>
        <v>154.04761904761907</v>
      </c>
      <c r="M12" s="7">
        <f t="shared" si="3"/>
        <v>129.33333333333334</v>
      </c>
    </row>
    <row r="13" spans="2:13">
      <c r="B13" t="s">
        <v>80</v>
      </c>
      <c r="E13" s="40">
        <f>+E14*E15</f>
        <v>3720.0000000000005</v>
      </c>
      <c r="J13">
        <f t="shared" si="0"/>
        <v>4</v>
      </c>
      <c r="K13" s="7">
        <f t="shared" si="1"/>
        <v>104.5</v>
      </c>
      <c r="L13" s="7">
        <f t="shared" si="2"/>
        <v>151.96428571428572</v>
      </c>
      <c r="M13" s="7">
        <f t="shared" si="3"/>
        <v>127.25</v>
      </c>
    </row>
    <row r="14" spans="2:13">
      <c r="C14" t="s">
        <v>79</v>
      </c>
      <c r="E14" s="40">
        <v>100</v>
      </c>
      <c r="J14">
        <f t="shared" si="0"/>
        <v>5</v>
      </c>
      <c r="K14" s="7">
        <f t="shared" si="1"/>
        <v>97</v>
      </c>
      <c r="L14" s="7">
        <f t="shared" si="2"/>
        <v>150.71428571428572</v>
      </c>
      <c r="M14" s="7">
        <f t="shared" si="3"/>
        <v>126</v>
      </c>
    </row>
    <row r="15" spans="2:13">
      <c r="C15" t="s">
        <v>78</v>
      </c>
      <c r="E15" s="40">
        <f>3*12.4</f>
        <v>37.200000000000003</v>
      </c>
      <c r="J15">
        <f t="shared" si="0"/>
        <v>6</v>
      </c>
      <c r="K15" s="7">
        <f t="shared" si="1"/>
        <v>92</v>
      </c>
      <c r="L15" s="7">
        <f t="shared" si="2"/>
        <v>149.88095238095238</v>
      </c>
      <c r="M15" s="7">
        <f t="shared" si="3"/>
        <v>125.16666666666667</v>
      </c>
    </row>
    <row r="16" spans="2:13">
      <c r="D16" s="40"/>
      <c r="J16">
        <f t="shared" si="0"/>
        <v>7</v>
      </c>
      <c r="K16" s="7">
        <f t="shared" si="1"/>
        <v>88.428571428571431</v>
      </c>
      <c r="L16" s="7">
        <f t="shared" si="2"/>
        <v>149.28571428571431</v>
      </c>
      <c r="M16" s="7">
        <f t="shared" si="3"/>
        <v>124.57142857142857</v>
      </c>
    </row>
    <row r="17" spans="2:14">
      <c r="C17" t="s">
        <v>77</v>
      </c>
      <c r="D17" s="40" t="s">
        <v>76</v>
      </c>
      <c r="E17">
        <f>+E5*E18/1000</f>
        <v>50</v>
      </c>
      <c r="F17">
        <f>+F5*F18/1000</f>
        <v>150</v>
      </c>
      <c r="G17">
        <f>+G5*G18/1000</f>
        <v>100</v>
      </c>
      <c r="J17">
        <f t="shared" si="0"/>
        <v>8</v>
      </c>
      <c r="K17" s="7">
        <f t="shared" si="1"/>
        <v>85.75</v>
      </c>
      <c r="L17" s="7">
        <f t="shared" si="2"/>
        <v>148.83928571428572</v>
      </c>
      <c r="M17" s="7">
        <f t="shared" si="3"/>
        <v>124.125</v>
      </c>
    </row>
    <row r="18" spans="2:14">
      <c r="C18" t="s">
        <v>75</v>
      </c>
      <c r="D18" s="40" t="s">
        <v>11</v>
      </c>
      <c r="E18">
        <v>10</v>
      </c>
      <c r="F18">
        <v>30</v>
      </c>
      <c r="G18">
        <v>20</v>
      </c>
      <c r="K18" s="7"/>
      <c r="L18" s="7"/>
      <c r="M18" s="7"/>
    </row>
    <row r="19" spans="2:14">
      <c r="D19" s="40"/>
      <c r="K19" s="7"/>
      <c r="L19" s="7"/>
      <c r="M19" s="7"/>
    </row>
    <row r="20" spans="2:14">
      <c r="D20" s="40" t="s">
        <v>74</v>
      </c>
      <c r="E20" t="s">
        <v>3</v>
      </c>
      <c r="K20" s="7"/>
      <c r="L20" s="7"/>
      <c r="M20" s="7"/>
      <c r="N20">
        <v>1635</v>
      </c>
    </row>
    <row r="21" spans="2:14">
      <c r="B21" t="s">
        <v>73</v>
      </c>
      <c r="D21" s="40">
        <v>1</v>
      </c>
      <c r="E21" s="7">
        <f t="shared" ref="E21:E28" si="4">+$E$5/D21</f>
        <v>5000</v>
      </c>
      <c r="F21" s="7">
        <f t="shared" ref="F21:F28" si="5">+E21</f>
        <v>5000</v>
      </c>
      <c r="G21" s="7">
        <f t="shared" ref="G21:G28" si="6">+$E$5/D21</f>
        <v>5000</v>
      </c>
      <c r="K21" s="7"/>
      <c r="L21" s="7"/>
      <c r="M21" s="7"/>
      <c r="N21">
        <v>731</v>
      </c>
    </row>
    <row r="22" spans="2:14">
      <c r="D22" s="40">
        <v>2</v>
      </c>
      <c r="E22" s="7">
        <f t="shared" si="4"/>
        <v>2500</v>
      </c>
      <c r="F22" s="7">
        <f t="shared" si="5"/>
        <v>2500</v>
      </c>
      <c r="G22" s="7">
        <f t="shared" si="6"/>
        <v>2500</v>
      </c>
      <c r="K22" s="7"/>
      <c r="L22" s="7"/>
      <c r="M22" s="7"/>
      <c r="N22">
        <f>+N20/N21</f>
        <v>2.2366621067031462</v>
      </c>
    </row>
    <row r="23" spans="2:14">
      <c r="D23" s="40">
        <v>3</v>
      </c>
      <c r="E23" s="7">
        <f t="shared" si="4"/>
        <v>1666.6666666666667</v>
      </c>
      <c r="F23" s="7">
        <f t="shared" si="5"/>
        <v>1666.6666666666667</v>
      </c>
      <c r="G23" s="7">
        <f t="shared" si="6"/>
        <v>1666.6666666666667</v>
      </c>
      <c r="N23" t="s">
        <v>72</v>
      </c>
    </row>
    <row r="24" spans="2:14">
      <c r="D24" s="40">
        <v>4</v>
      </c>
      <c r="E24" s="7">
        <f t="shared" si="4"/>
        <v>1250</v>
      </c>
      <c r="F24" s="7">
        <f t="shared" si="5"/>
        <v>1250</v>
      </c>
      <c r="G24" s="7">
        <f t="shared" si="6"/>
        <v>1250</v>
      </c>
    </row>
    <row r="25" spans="2:14">
      <c r="D25" s="40">
        <v>5</v>
      </c>
      <c r="E25" s="7">
        <f t="shared" si="4"/>
        <v>1000</v>
      </c>
      <c r="F25" s="7">
        <f t="shared" si="5"/>
        <v>1000</v>
      </c>
      <c r="G25" s="7">
        <f t="shared" si="6"/>
        <v>1000</v>
      </c>
    </row>
    <row r="26" spans="2:14">
      <c r="D26" s="40">
        <v>6</v>
      </c>
      <c r="E26" s="7">
        <f t="shared" si="4"/>
        <v>833.33333333333337</v>
      </c>
      <c r="F26" s="7">
        <f t="shared" si="5"/>
        <v>833.33333333333337</v>
      </c>
      <c r="G26" s="7">
        <f t="shared" si="6"/>
        <v>833.33333333333337</v>
      </c>
    </row>
    <row r="27" spans="2:14">
      <c r="D27" s="40">
        <v>7</v>
      </c>
      <c r="E27" s="7">
        <f t="shared" si="4"/>
        <v>714.28571428571433</v>
      </c>
      <c r="F27" s="7">
        <f t="shared" si="5"/>
        <v>714.28571428571433</v>
      </c>
      <c r="G27" s="7">
        <f t="shared" si="6"/>
        <v>714.28571428571433</v>
      </c>
    </row>
    <row r="28" spans="2:14">
      <c r="D28" s="40">
        <v>8</v>
      </c>
      <c r="E28" s="7">
        <f t="shared" si="4"/>
        <v>625</v>
      </c>
      <c r="F28" s="7">
        <f t="shared" si="5"/>
        <v>625</v>
      </c>
      <c r="G28" s="7">
        <f t="shared" si="6"/>
        <v>625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Investment cost</vt:lpstr>
      <vt:lpstr>Annual cost</vt:lpstr>
      <vt:lpstr>Cash flow analysis</vt:lpstr>
      <vt:lpstr>Annualization</vt:lpstr>
      <vt:lpstr>Econ Anal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Nuorkivi</dc:creator>
  <cp:lastModifiedBy>Nuorkivi</cp:lastModifiedBy>
  <dcterms:created xsi:type="dcterms:W3CDTF">2010-02-11T16:40:27Z</dcterms:created>
  <dcterms:modified xsi:type="dcterms:W3CDTF">2013-02-08T19:46:13Z</dcterms:modified>
</cp:coreProperties>
</file>