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35" yWindow="65521" windowWidth="5535" windowHeight="6105" activeTab="0"/>
  </bookViews>
  <sheets>
    <sheet name="Description" sheetId="1" r:id="rId1"/>
    <sheet name="User interface" sheetId="2" r:id="rId2"/>
    <sheet name="Result" sheetId="3" r:id="rId3"/>
    <sheet name="Calculation" sheetId="4" r:id="rId4"/>
    <sheet name="Additional data" sheetId="5" r:id="rId5"/>
  </sheets>
  <definedNames>
    <definedName name="_xlnm.Print_Area" localSheetId="4">'Additional data'!$C$3:$O$62</definedName>
    <definedName name="_xlnm.Print_Area" localSheetId="3">'Calculation'!$C$3:$O$87</definedName>
    <definedName name="_xlnm.Print_Area" localSheetId="0">'Description'!$C$3:$C$13</definedName>
    <definedName name="_xlnm.Print_Area" localSheetId="2">'Result'!$C$3:$O$150</definedName>
    <definedName name="_xlnm.Print_Area" localSheetId="1">'User interface'!$C$3:$O$94</definedName>
    <definedName name="_xlnm.Print_Titles" localSheetId="4">'Additional data'!$3:$5</definedName>
  </definedNames>
  <calcPr calcMode="manual" fullCalcOnLoad="1"/>
</workbook>
</file>

<file path=xl/comments4.xml><?xml version="1.0" encoding="utf-8"?>
<comments xmlns="http://schemas.openxmlformats.org/spreadsheetml/2006/main">
  <authors>
    <author>Johannes Dorfner</author>
  </authors>
  <commentList>
    <comment ref="L5" authorId="0">
      <text>
        <r>
          <rPr>
            <b/>
            <sz val="9"/>
            <rFont val="Tahoma"/>
            <family val="0"/>
          </rPr>
          <t>Johannes Dorfner:</t>
        </r>
        <r>
          <rPr>
            <sz val="9"/>
            <rFont val="Tahoma"/>
            <family val="0"/>
          </rPr>
          <t xml:space="preserve">
Taken from diploma thesis Bartelt</t>
        </r>
      </text>
    </comment>
    <comment ref="J6" authorId="0">
      <text>
        <r>
          <rPr>
            <b/>
            <sz val="9"/>
            <rFont val="Tahoma"/>
            <family val="0"/>
          </rPr>
          <t>Johannes Dorfner:</t>
        </r>
        <r>
          <rPr>
            <sz val="9"/>
            <rFont val="Tahoma"/>
            <family val="0"/>
          </rPr>
          <t xml:space="preserve">
From study Schlomann2002: "Energieverbrauch der privaten Haushalte und des Sektors GHD"</t>
        </r>
      </text>
    </comment>
    <comment ref="M19" authorId="0">
      <text>
        <r>
          <rPr>
            <b/>
            <sz val="9"/>
            <rFont val="Tahoma"/>
            <family val="0"/>
          </rPr>
          <t xml:space="preserve">Johannes Dorfner:
</t>
        </r>
        <r>
          <rPr>
            <sz val="9"/>
            <rFont val="Tahoma"/>
            <family val="2"/>
          </rPr>
          <t>Taken from diploma thesis Bartelt</t>
        </r>
      </text>
    </comment>
    <comment ref="J20" authorId="0">
      <text>
        <r>
          <rPr>
            <b/>
            <sz val="9"/>
            <rFont val="Tahoma"/>
            <family val="0"/>
          </rPr>
          <t>Johannes Dorfner:</t>
        </r>
        <r>
          <rPr>
            <sz val="9"/>
            <rFont val="Tahoma"/>
            <family val="0"/>
          </rPr>
          <t xml:space="preserve">
from study "Energieverbrauch des Sektors Gewerbe, Handel, Dienstleistungen (GHD) für die Jahre 2004 bis 2006 (Projektnummer 45/05)"</t>
        </r>
      </text>
    </comment>
    <comment ref="I20" authorId="0">
      <text>
        <r>
          <rPr>
            <b/>
            <sz val="9"/>
            <rFont val="Tahoma"/>
            <family val="0"/>
          </rPr>
          <t>Johannes Dorfner:</t>
        </r>
        <r>
          <rPr>
            <sz val="9"/>
            <rFont val="Tahoma"/>
            <family val="0"/>
          </rPr>
          <t xml:space="preserve">
Fallback factors, when no value for sector was entered.
Percentage distribution of employees (%) or scaling factor for hospitals, schools &amp; pools which connect number of total employees to their scale basis.</t>
        </r>
      </text>
    </comment>
    <comment ref="M46" authorId="0">
      <text>
        <r>
          <rPr>
            <b/>
            <sz val="9"/>
            <rFont val="Tahoma"/>
            <family val="0"/>
          </rPr>
          <t xml:space="preserve">Johannes Dorfner:
</t>
        </r>
        <r>
          <rPr>
            <sz val="9"/>
            <rFont val="Tahoma"/>
            <family val="2"/>
          </rPr>
          <t>Mischfaktoren, berechnet auf Tabellenblatt Datenquellen</t>
        </r>
      </text>
    </comment>
    <comment ref="I47" authorId="0">
      <text>
        <r>
          <rPr>
            <b/>
            <sz val="9"/>
            <rFont val="Tahoma"/>
            <family val="0"/>
          </rPr>
          <t>Johannes Dorfner:</t>
        </r>
        <r>
          <rPr>
            <sz val="9"/>
            <rFont val="Tahoma"/>
            <family val="0"/>
          </rPr>
          <t xml:space="preserve">
Fallback, wenn keine Mitarbeiter je Branche bekannt. Anteil Beschäftigter (%) je Branche bundesweit. Stand 2007</t>
        </r>
      </text>
    </comment>
    <comment ref="J47" authorId="0">
      <text>
        <r>
          <rPr>
            <b/>
            <sz val="9"/>
            <rFont val="Tahoma"/>
            <family val="0"/>
          </rPr>
          <t>Johannes Dorfner:</t>
        </r>
        <r>
          <rPr>
            <sz val="9"/>
            <rFont val="Tahoma"/>
            <family val="0"/>
          </rPr>
          <t xml:space="preserve">
aus GHD-Studie 2004-06 
(Projektnummer 45/05)</t>
        </r>
      </text>
    </comment>
    <comment ref="I6" authorId="0">
      <text>
        <r>
          <rPr>
            <b/>
            <sz val="9"/>
            <rFont val="Tahoma"/>
            <family val="0"/>
          </rPr>
          <t xml:space="preserve">Johannes Dorfner:
</t>
        </r>
        <r>
          <rPr>
            <sz val="9"/>
            <rFont val="Tahoma"/>
            <family val="0"/>
          </rPr>
          <t>Fallback, falls Aufteilung nicht angegeben.
Quelle: Statistisches Bundesamt, 2009.
Holz &amp; Flüssiggas = 0.5*Rest
ESH = Stromverbrauch - Geräte - Beleuchtung</t>
        </r>
      </text>
    </comment>
  </commentList>
</comments>
</file>

<file path=xl/comments5.xml><?xml version="1.0" encoding="utf-8"?>
<comments xmlns="http://schemas.openxmlformats.org/spreadsheetml/2006/main">
  <authors>
    <author>Johannes Dorfner</author>
  </authors>
  <commentList>
    <comment ref="N7" authorId="0">
      <text>
        <r>
          <rPr>
            <b/>
            <sz val="9"/>
            <rFont val="Tahoma"/>
            <family val="0"/>
          </rPr>
          <t>Johannes Dorfner:</t>
        </r>
        <r>
          <rPr>
            <sz val="9"/>
            <rFont val="Tahoma"/>
            <family val="0"/>
          </rPr>
          <t xml:space="preserve">
Stand 2009, Quelle: Statistische Ämter des Bundes und der Länder.
Wird verwendet, wenn Einwohnerzahl oder Zahl der Haushalte fehlt, um die jeweils andere Größe abzuleiten.</t>
        </r>
      </text>
    </comment>
    <comment ref="G12" authorId="0">
      <text>
        <r>
          <rPr>
            <b/>
            <sz val="9"/>
            <rFont val="Tahoma"/>
            <family val="0"/>
          </rPr>
          <t>Johannes Dorfner:</t>
        </r>
        <r>
          <rPr>
            <sz val="9"/>
            <rFont val="Tahoma"/>
            <family val="0"/>
          </rPr>
          <t xml:space="preserve">
Net emissions, accounting for CO2 absorption during plant growth.</t>
        </r>
      </text>
    </comment>
    <comment ref="C49" authorId="0">
      <text>
        <r>
          <rPr>
            <b/>
            <sz val="9"/>
            <rFont val="Tahoma"/>
            <family val="0"/>
          </rPr>
          <t>Johannes Dorfner:</t>
        </r>
        <r>
          <rPr>
            <sz val="9"/>
            <rFont val="Tahoma"/>
            <family val="0"/>
          </rPr>
          <t xml:space="preserve">
Data from "Daten zum Verkehr" by Umweltbundesamt, 2009.</t>
        </r>
      </text>
    </comment>
    <comment ref="C16" authorId="0">
      <text>
        <r>
          <rPr>
            <b/>
            <sz val="9"/>
            <rFont val="Tahoma"/>
            <family val="0"/>
          </rPr>
          <t>Johannes Dorfner:</t>
        </r>
        <r>
          <rPr>
            <sz val="9"/>
            <rFont val="Tahoma"/>
            <family val="0"/>
          </rPr>
          <t xml:space="preserve">
From Schlomann 2004 "Energieverbrauch der privaten Haushalte und des Sektors GHD"
http://isi.fraunhofer.de/isi-de/publ/download/isi04b15/ghd-hauptbericht.pdf</t>
        </r>
      </text>
    </comment>
    <comment ref="G6" authorId="0">
      <text>
        <r>
          <rPr>
            <b/>
            <sz val="9"/>
            <rFont val="Tahoma"/>
            <family val="0"/>
          </rPr>
          <t>Johannes Dorfner:</t>
        </r>
        <r>
          <rPr>
            <sz val="9"/>
            <rFont val="Tahoma"/>
            <family val="0"/>
          </rPr>
          <t xml:space="preserve">
Source: GEMIS
http://www.oeko.de/service/gemis/</t>
        </r>
      </text>
    </comment>
    <comment ref="O29" authorId="0">
      <text>
        <r>
          <rPr>
            <b/>
            <sz val="9"/>
            <rFont val="Tahoma"/>
            <family val="0"/>
          </rPr>
          <t>Johannes Dorfner:</t>
        </r>
        <r>
          <rPr>
            <sz val="9"/>
            <rFont val="Tahoma"/>
            <family val="0"/>
          </rPr>
          <t xml:space="preserve">
Source: AG Energiebilanzen
"Energiebilanz Deutschland 2008"</t>
        </r>
      </text>
    </comment>
    <comment ref="G45" authorId="0">
      <text>
        <r>
          <rPr>
            <b/>
            <sz val="9"/>
            <rFont val="Tahoma"/>
            <family val="0"/>
          </rPr>
          <t>Johannes Dorfner:</t>
        </r>
        <r>
          <rPr>
            <sz val="9"/>
            <rFont val="Tahoma"/>
            <family val="0"/>
          </rPr>
          <t xml:space="preserve">
Source: GEMIS
http://www.oeko.de/service/gemis/</t>
        </r>
      </text>
    </comment>
    <comment ref="G49" authorId="0">
      <text>
        <r>
          <rPr>
            <b/>
            <sz val="9"/>
            <rFont val="Tahoma"/>
            <family val="0"/>
          </rPr>
          <t>Johannes Dorfner:</t>
        </r>
        <r>
          <rPr>
            <sz val="9"/>
            <rFont val="Tahoma"/>
            <family val="0"/>
          </rPr>
          <t xml:space="preserve">
Source: GEMIS
http://www.oeko.de/service/gemis/</t>
        </r>
      </text>
    </comment>
  </commentList>
</comments>
</file>

<file path=xl/sharedStrings.xml><?xml version="1.0" encoding="utf-8"?>
<sst xmlns="http://schemas.openxmlformats.org/spreadsheetml/2006/main" count="353" uniqueCount="170">
  <si>
    <t>EF total (t/GWh)</t>
  </si>
  <si>
    <t>CO2 total (t/a)</t>
  </si>
  <si>
    <t>---</t>
  </si>
  <si>
    <t>%</t>
  </si>
  <si>
    <t>CO2 total (1000 t/a)</t>
  </si>
  <si>
    <t>Energy and greenhouse gas balance</t>
  </si>
  <si>
    <t>Calculation tool</t>
  </si>
  <si>
    <t>Private households</t>
  </si>
  <si>
    <t>Scale basis</t>
  </si>
  <si>
    <t>Number</t>
  </si>
  <si>
    <t>Number of private households</t>
  </si>
  <si>
    <t>District heating</t>
  </si>
  <si>
    <t>Natural gas</t>
  </si>
  <si>
    <t>Liquid natural gas (LNG)</t>
  </si>
  <si>
    <t>Fuel oil</t>
  </si>
  <si>
    <t>Coal</t>
  </si>
  <si>
    <t>Wood</t>
  </si>
  <si>
    <t>Electric heating</t>
  </si>
  <si>
    <t>DH</t>
  </si>
  <si>
    <t>LNG</t>
  </si>
  <si>
    <t>Oil</t>
  </si>
  <si>
    <t>Electricity</t>
  </si>
  <si>
    <t>Heating</t>
  </si>
  <si>
    <t>Subtotal heating</t>
  </si>
  <si>
    <t>Subtotal electricity</t>
  </si>
  <si>
    <t>Employees</t>
  </si>
  <si>
    <t>Beds</t>
  </si>
  <si>
    <t>Pupils</t>
  </si>
  <si>
    <t>Water surface in m²</t>
  </si>
  <si>
    <t>Hospitals</t>
  </si>
  <si>
    <t>Schools</t>
  </si>
  <si>
    <t>Swimming pools</t>
  </si>
  <si>
    <t>Construction</t>
  </si>
  <si>
    <t>Agriculture</t>
  </si>
  <si>
    <t>Food industry</t>
  </si>
  <si>
    <t>Mining</t>
  </si>
  <si>
    <t>Food and tobacco</t>
  </si>
  <si>
    <t>Paper</t>
  </si>
  <si>
    <t>Basic chemistry</t>
  </si>
  <si>
    <t>Other chemical industry</t>
  </si>
  <si>
    <t>Rubber and plastic products</t>
  </si>
  <si>
    <t>Glass and ceramics</t>
  </si>
  <si>
    <t>Processing of stones and earth</t>
  </si>
  <si>
    <t>Wholesale and retail trade</t>
  </si>
  <si>
    <t>Office-like activities</t>
  </si>
  <si>
    <t>Manufacturing</t>
  </si>
  <si>
    <t>Production of iron, steel and ferro-alloys</t>
  </si>
  <si>
    <t>Production of non-ferrous metal, casting</t>
  </si>
  <si>
    <t>Machine construction</t>
  </si>
  <si>
    <t>Vehicle construction</t>
  </si>
  <si>
    <t>Other branches</t>
  </si>
  <si>
    <t>Emission factors</t>
  </si>
  <si>
    <t>Final energy consumption</t>
  </si>
  <si>
    <t>FE (MWh/HH*a)</t>
  </si>
  <si>
    <t>FE (GWh/a)</t>
  </si>
  <si>
    <t>Electricity (w/o heating)</t>
  </si>
  <si>
    <t>Total private households</t>
  </si>
  <si>
    <t>CO2 emissions</t>
  </si>
  <si>
    <t>CO2 local (t/a)</t>
  </si>
  <si>
    <t xml:space="preserve">Heating+Electricity </t>
  </si>
  <si>
    <t>Households</t>
  </si>
  <si>
    <t>Industry</t>
  </si>
  <si>
    <t>Transport</t>
  </si>
  <si>
    <t>Total</t>
  </si>
  <si>
    <t>Total industry</t>
  </si>
  <si>
    <t>Total trade, commerce &amp; service</t>
  </si>
  <si>
    <t>Trade, commerce and service</t>
  </si>
  <si>
    <t>FE (MWh/unit*a)</t>
  </si>
  <si>
    <t>EF local (t/GWh)</t>
  </si>
  <si>
    <t>Population</t>
  </si>
  <si>
    <t>Food</t>
  </si>
  <si>
    <t>Rubber</t>
  </si>
  <si>
    <t>Glass</t>
  </si>
  <si>
    <t>Stones</t>
  </si>
  <si>
    <t>Machine</t>
  </si>
  <si>
    <t>Vehicle</t>
  </si>
  <si>
    <t>Other</t>
  </si>
  <si>
    <t>Metal processing</t>
  </si>
  <si>
    <t>Hotels</t>
  </si>
  <si>
    <t>Trade</t>
  </si>
  <si>
    <t>Office</t>
  </si>
  <si>
    <t>Pools</t>
  </si>
  <si>
    <t>Hotels, restaurants, homes</t>
  </si>
  <si>
    <t>if known (also partially), enter number of employees by sector:</t>
  </si>
  <si>
    <t>Value</t>
  </si>
  <si>
    <t>Employees by sector (as entered or estimated)</t>
  </si>
  <si>
    <t>FE (TWh/a)</t>
  </si>
  <si>
    <t>Share FE (%)</t>
  </si>
  <si>
    <t>Average size of private households</t>
  </si>
  <si>
    <t>Trade, commerce &amp; services</t>
  </si>
  <si>
    <t>Heat+Elec</t>
  </si>
  <si>
    <t>Summary</t>
  </si>
  <si>
    <t>Data table for calculation for estimation of default distributions (heating for households, employees by sectors). Calculation of mixed emission factors for industry sectors</t>
  </si>
  <si>
    <t>Data from: 2005-2009</t>
  </si>
  <si>
    <t>Tertiary sector (Trade, commerce and services)</t>
  </si>
  <si>
    <t>Total number of employees</t>
  </si>
  <si>
    <t>Tertiary sector</t>
  </si>
  <si>
    <t>Result</t>
  </si>
  <si>
    <t>Iron &amp; steel</t>
  </si>
  <si>
    <t>CO2 emissions (1000 t/a)</t>
  </si>
  <si>
    <t>Description</t>
  </si>
  <si>
    <t>Usage</t>
  </si>
  <si>
    <t>Explanation of other spreadsheets</t>
  </si>
  <si>
    <t>Heat</t>
  </si>
  <si>
    <t>Scaling factor</t>
  </si>
  <si>
    <t>Quantity</t>
  </si>
  <si>
    <t>Lignite</t>
  </si>
  <si>
    <t>Biomass</t>
  </si>
  <si>
    <t>District heat</t>
  </si>
  <si>
    <t>Final energy by type/source (GWh)</t>
  </si>
  <si>
    <t>Mixed emission factors by sector</t>
  </si>
  <si>
    <t>Emission factors by energy type: CO2 local (t/GWh)</t>
  </si>
  <si>
    <t>CO2 total (t/GWh)</t>
  </si>
  <si>
    <t>EF total</t>
  </si>
  <si>
    <t>kWh/unit</t>
  </si>
  <si>
    <t>This spreadsheet calculates the rough estimate of an energy and greenhouse gas emission balance. The word "balance" does not really apply at the moment, because only energy consumption is summed up. Energy supply is only modeled through emission factors, which assign a certain amount of emissions to an energy unit.</t>
  </si>
  <si>
    <r>
      <t xml:space="preserve">Enter as much data as known into the green cells on the spreadsheet </t>
    </r>
    <r>
      <rPr>
        <i/>
        <sz val="10"/>
        <rFont val="Calibri"/>
        <family val="2"/>
      </rPr>
      <t>User interface</t>
    </r>
    <r>
      <rPr>
        <sz val="10"/>
        <rFont val="Calibri"/>
        <family val="2"/>
      </rPr>
      <t>. Most inputs are optional, but the more values are given, the more accurate the estimation becomes. Skipped values are compensated by default distributions that are precalculated on a national scale. If for example only the total number of employees in the tertiary sector are entered, the distribution by subsectors are derived from the nation-wide average distribution. If only some subsectors are known exactly, the remaining employees are distributed among the remaining subsectors in the same way.</t>
    </r>
  </si>
  <si>
    <t>Trucks</t>
  </si>
  <si>
    <t>Ships (inland)</t>
  </si>
  <si>
    <t>Rails</t>
  </si>
  <si>
    <t>Persons</t>
  </si>
  <si>
    <t>Freight transport (without pipelines)</t>
  </si>
  <si>
    <t>Amount</t>
  </si>
  <si>
    <t>1e9*MJ</t>
  </si>
  <si>
    <t>Rail-based public transport</t>
  </si>
  <si>
    <t>Airline</t>
  </si>
  <si>
    <t>Walk</t>
  </si>
  <si>
    <t>Bicycle</t>
  </si>
  <si>
    <t>PE</t>
  </si>
  <si>
    <t>Emission factors by type</t>
  </si>
  <si>
    <t>Share employees</t>
  </si>
  <si>
    <t>Street-based individual transport</t>
  </si>
  <si>
    <t>Street-based public tansport</t>
  </si>
  <si>
    <t>Total transport</t>
  </si>
  <si>
    <t>PE (GWh/a)</t>
  </si>
  <si>
    <t>1e9*(tkm or pkm)</t>
  </si>
  <si>
    <t>EF total (g/tkm or g/pkm)</t>
  </si>
  <si>
    <t>Default share</t>
  </si>
  <si>
    <r>
      <t>Primary</t>
    </r>
    <r>
      <rPr>
        <b/>
        <sz val="10"/>
        <rFont val="Calibri"/>
        <family val="2"/>
      </rPr>
      <t xml:space="preserve"> energy consumption</t>
    </r>
  </si>
  <si>
    <t>Bus</t>
  </si>
  <si>
    <t>Train</t>
  </si>
  <si>
    <t>Car</t>
  </si>
  <si>
    <t>Bus, tram</t>
  </si>
  <si>
    <t>Automobile</t>
  </si>
  <si>
    <t>Ship</t>
  </si>
  <si>
    <r>
      <t>Additional data</t>
    </r>
    <r>
      <rPr>
        <sz val="10"/>
        <rFont val="Calibri"/>
        <family val="2"/>
      </rPr>
      <t xml:space="preserve"> is the data backend for the balance calculation. All country specific data is to be located there to facilitate adaption of the tool to other countries. At the moment, only German statistics are used to determine default values for employment distribution and emission factors.
</t>
    </r>
    <r>
      <rPr>
        <i/>
        <sz val="10"/>
        <rFont val="Calibri"/>
        <family val="2"/>
      </rPr>
      <t>Calculation</t>
    </r>
    <r>
      <rPr>
        <sz val="10"/>
        <rFont val="Calibri"/>
        <family val="2"/>
      </rPr>
      <t xml:space="preserve"> is the core of this application. It multiplies energy consumption and emission coefficients with statistical estimates of consumed fuels, passenger kilometres, ...</t>
    </r>
  </si>
  <si>
    <t>Modal split (by passenger-kilometre)</t>
  </si>
  <si>
    <t>Def. share</t>
  </si>
  <si>
    <t>PE (kWh/unit)</t>
  </si>
  <si>
    <t>Personal transportation</t>
  </si>
  <si>
    <t>Freight transportation (without pipelines)</t>
  </si>
  <si>
    <t>Other chem.</t>
  </si>
  <si>
    <t>Number of inhabitants</t>
  </si>
  <si>
    <t>Results</t>
  </si>
  <si>
    <t>Inhabitants</t>
  </si>
  <si>
    <r>
      <t xml:space="preserve">if known (also partially), enter </t>
    </r>
    <r>
      <rPr>
        <b/>
        <i/>
        <sz val="10"/>
        <rFont val="Calibri"/>
        <family val="2"/>
      </rPr>
      <t>percentage of households</t>
    </r>
    <r>
      <rPr>
        <i/>
        <sz val="10"/>
        <rFont val="Calibri"/>
        <family val="2"/>
      </rPr>
      <t xml:space="preserve"> by energy source for </t>
    </r>
    <r>
      <rPr>
        <b/>
        <i/>
        <sz val="10"/>
        <rFont val="Calibri"/>
        <family val="2"/>
      </rPr>
      <t>heating</t>
    </r>
    <r>
      <rPr>
        <i/>
        <sz val="10"/>
        <rFont val="Calibri"/>
        <family val="2"/>
      </rPr>
      <t>:</t>
    </r>
  </si>
  <si>
    <t>Rails (trains, subway)</t>
  </si>
  <si>
    <t>Modal split (by 1e6 tonne-kilometre)</t>
  </si>
  <si>
    <t>1e6*tkm</t>
  </si>
  <si>
    <t>1e6*pkm</t>
  </si>
  <si>
    <t>1e6 tkm</t>
  </si>
  <si>
    <t>1e6 pkm</t>
  </si>
  <si>
    <t>Total population of country</t>
  </si>
  <si>
    <t>FE or PE (GWh/a)</t>
  </si>
  <si>
    <t>CO2 (1000 t/a)</t>
  </si>
  <si>
    <t>Result summary</t>
  </si>
  <si>
    <t>Non-ferrous metal</t>
  </si>
  <si>
    <t>Calculation tool, version 5, last modified 2011-07-05</t>
  </si>
  <si>
    <t>Households &amp; tertiary sector</t>
  </si>
  <si>
    <t>Industry &amp; transport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</si>
</sst>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 ###\ ##0"/>
    <numFmt numFmtId="168" formatCode="#.###"/>
    <numFmt numFmtId="169" formatCode="#,##0.0\ \ \ "/>
    <numFmt numFmtId="170" formatCode="[$-407]dddd\,\ d\.\ mmmm\ yyyy"/>
    <numFmt numFmtId="171" formatCode="0.0&quot; GWh&quot;"/>
    <numFmt numFmtId="172" formatCode="#,##0.0000"/>
    <numFmt numFmtId="173" formatCode="0.0&quot; t&quot;"/>
    <numFmt numFmtId="174" formatCode="0.0&quot; kt&quot;"/>
  </numFmts>
  <fonts count="67">
    <font>
      <sz val="10"/>
      <name val="Arial"/>
      <family val="0"/>
    </font>
    <font>
      <sz val="8"/>
      <name val="Arial"/>
      <family val="0"/>
    </font>
    <font>
      <sz val="10"/>
      <name val="Calibri"/>
      <family val="2"/>
    </font>
    <font>
      <b/>
      <sz val="10"/>
      <name val="Calibri"/>
      <family val="2"/>
    </font>
    <font>
      <sz val="9"/>
      <name val="Tahoma"/>
      <family val="0"/>
    </font>
    <font>
      <b/>
      <sz val="9"/>
      <name val="Tahoma"/>
      <family val="0"/>
    </font>
    <font>
      <sz val="10"/>
      <color indexed="55"/>
      <name val="Calibri"/>
      <family val="2"/>
    </font>
    <font>
      <b/>
      <sz val="14"/>
      <name val="Calibri"/>
      <family val="2"/>
    </font>
    <font>
      <sz val="14"/>
      <name val="Calibri"/>
      <family val="2"/>
    </font>
    <font>
      <i/>
      <sz val="10"/>
      <name val="Calibri"/>
      <family val="2"/>
    </font>
    <font>
      <b/>
      <sz val="12"/>
      <name val="Calibri"/>
      <family val="2"/>
    </font>
    <font>
      <sz val="10"/>
      <color indexed="17"/>
      <name val="Calibri"/>
      <family val="2"/>
    </font>
    <font>
      <i/>
      <sz val="10"/>
      <color indexed="55"/>
      <name val="Calibri"/>
      <family val="2"/>
    </font>
    <font>
      <b/>
      <i/>
      <sz val="10"/>
      <name val="Calibri"/>
      <family val="2"/>
    </font>
    <font>
      <sz val="14"/>
      <color indexed="55"/>
      <name val="Calibri"/>
      <family val="2"/>
    </font>
    <font>
      <b/>
      <sz val="10"/>
      <color indexed="55"/>
      <name val="Calibri"/>
      <family val="2"/>
    </font>
    <font>
      <i/>
      <sz val="14"/>
      <name val="Calibri"/>
      <family val="2"/>
    </font>
    <font>
      <b/>
      <sz val="8"/>
      <name val="Arial"/>
      <family val="2"/>
    </font>
    <font>
      <b/>
      <sz val="10"/>
      <color indexed="17"/>
      <name val="Calibri"/>
      <family val="2"/>
    </font>
    <font>
      <sz val="10"/>
      <color indexed="23"/>
      <name val="Calibri"/>
      <family val="2"/>
    </font>
    <font>
      <sz val="10"/>
      <color indexed="9"/>
      <name val="Calibri"/>
      <family val="2"/>
    </font>
    <font>
      <b/>
      <u val="single"/>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
      <color indexed="8"/>
      <name val="Arial"/>
      <family val="2"/>
    </font>
    <font>
      <sz val="3"/>
      <color indexed="8"/>
      <name val="Arial"/>
      <family val="2"/>
    </font>
    <font>
      <b/>
      <sz val="8"/>
      <color indexed="8"/>
      <name val="Arial"/>
      <family val="2"/>
    </font>
    <font>
      <sz val="8"/>
      <color indexed="23"/>
      <name val="Arial"/>
      <family val="2"/>
    </font>
    <font>
      <b/>
      <sz val="9"/>
      <color indexed="8"/>
      <name val="Arial"/>
      <family val="2"/>
    </font>
    <font>
      <sz val="3.25"/>
      <color indexed="8"/>
      <name val="Arial"/>
      <family val="2"/>
    </font>
    <font>
      <sz val="3.75"/>
      <color indexed="8"/>
      <name val="Arial"/>
      <family val="2"/>
    </font>
    <font>
      <sz val="8"/>
      <color indexed="8"/>
      <name val="Arial"/>
      <family val="2"/>
    </font>
    <font>
      <sz val="10"/>
      <color indexed="8"/>
      <name val="Arial"/>
      <family val="2"/>
    </font>
    <font>
      <sz val="12"/>
      <color indexed="8"/>
      <name val="Arial"/>
      <family val="2"/>
    </font>
    <font>
      <sz val="7.3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style="hair">
        <color indexed="22"/>
      </left>
      <right style="hair">
        <color indexed="22"/>
      </right>
      <top style="thin"/>
      <bottom>
        <color indexed="63"/>
      </bottom>
    </border>
    <border>
      <left style="hair">
        <color indexed="22"/>
      </left>
      <right style="hair">
        <color indexed="22"/>
      </right>
      <top>
        <color indexed="63"/>
      </top>
      <bottom>
        <color indexed="63"/>
      </bottom>
    </border>
    <border>
      <left style="hair">
        <color indexed="22"/>
      </left>
      <right style="hair">
        <color indexed="22"/>
      </right>
      <top>
        <color indexed="63"/>
      </top>
      <bottom style="hair">
        <color indexed="22"/>
      </bottom>
    </border>
    <border>
      <left style="hair">
        <color indexed="22"/>
      </left>
      <right style="hair">
        <color indexed="22"/>
      </right>
      <top style="hair">
        <color indexed="22"/>
      </top>
      <bottom>
        <color indexed="63"/>
      </bottom>
    </border>
    <border>
      <left style="hair">
        <color indexed="22"/>
      </left>
      <right style="hair">
        <color indexed="22"/>
      </right>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thin">
        <color indexed="17"/>
      </left>
      <right style="medium">
        <color indexed="17"/>
      </right>
      <top>
        <color indexed="63"/>
      </top>
      <bottom style="medium">
        <color indexed="17"/>
      </bottom>
    </border>
    <border>
      <left style="thin">
        <color indexed="17"/>
      </left>
      <right style="medium">
        <color indexed="17"/>
      </right>
      <top style="thin">
        <color indexed="17"/>
      </top>
      <bottom>
        <color indexed="63"/>
      </bottom>
    </border>
    <border>
      <left style="thin">
        <color indexed="17"/>
      </left>
      <right style="medium">
        <color indexed="17"/>
      </right>
      <top>
        <color indexed="63"/>
      </top>
      <bottom>
        <color indexed="63"/>
      </bottom>
    </border>
    <border>
      <left style="thin">
        <color indexed="17"/>
      </left>
      <right style="medium">
        <color indexed="17"/>
      </right>
      <top>
        <color indexed="63"/>
      </top>
      <bottom style="hair">
        <color indexed="55"/>
      </bottom>
    </border>
    <border>
      <left style="thin">
        <color indexed="17"/>
      </left>
      <right style="medium">
        <color indexed="17"/>
      </right>
      <top style="thin"/>
      <bottom>
        <color indexed="63"/>
      </bottom>
    </border>
    <border>
      <left style="thin">
        <color indexed="17"/>
      </left>
      <right style="medium">
        <color indexed="17"/>
      </right>
      <top style="thin"/>
      <bottom style="medium">
        <color indexed="17"/>
      </bottom>
    </border>
    <border>
      <left>
        <color indexed="63"/>
      </left>
      <right>
        <color indexed="63"/>
      </right>
      <top style="hair">
        <color indexed="23"/>
      </top>
      <bottom>
        <color indexed="63"/>
      </bottom>
    </border>
    <border>
      <left>
        <color indexed="63"/>
      </left>
      <right>
        <color indexed="63"/>
      </right>
      <top>
        <color indexed="63"/>
      </top>
      <bottom style="hair">
        <color indexed="23"/>
      </bottom>
    </border>
    <border>
      <left>
        <color indexed="63"/>
      </left>
      <right style="thin">
        <color indexed="17"/>
      </right>
      <top>
        <color indexed="63"/>
      </top>
      <bottom style="hair">
        <color indexed="23"/>
      </bottom>
    </border>
    <border>
      <left>
        <color indexed="63"/>
      </left>
      <right>
        <color indexed="63"/>
      </right>
      <top>
        <color indexed="63"/>
      </top>
      <bottom style="thin">
        <color indexed="55"/>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67">
    <xf numFmtId="0" fontId="0" fillId="0" borderId="0" xfId="0" applyAlignment="1">
      <alignment/>
    </xf>
    <xf numFmtId="0" fontId="2" fillId="33" borderId="0" xfId="0" applyFont="1" applyFill="1" applyBorder="1" applyAlignment="1">
      <alignment vertical="center"/>
    </xf>
    <xf numFmtId="164" fontId="2" fillId="33" borderId="0" xfId="0" applyNumberFormat="1" applyFont="1" applyFill="1" applyBorder="1" applyAlignment="1">
      <alignment vertical="center"/>
    </xf>
    <xf numFmtId="166" fontId="2" fillId="33" borderId="0" xfId="0" applyNumberFormat="1" applyFont="1" applyFill="1" applyBorder="1" applyAlignment="1">
      <alignment vertical="center"/>
    </xf>
    <xf numFmtId="0" fontId="3" fillId="33" borderId="0" xfId="0" applyFont="1" applyFill="1" applyBorder="1" applyAlignment="1">
      <alignment vertical="center"/>
    </xf>
    <xf numFmtId="166" fontId="2" fillId="33" borderId="10" xfId="0" applyNumberFormat="1" applyFont="1" applyFill="1" applyBorder="1" applyAlignment="1">
      <alignment vertical="center"/>
    </xf>
    <xf numFmtId="166" fontId="3" fillId="33" borderId="10" xfId="0" applyNumberFormat="1" applyFont="1" applyFill="1" applyBorder="1" applyAlignment="1">
      <alignment vertical="center"/>
    </xf>
    <xf numFmtId="166" fontId="2" fillId="33" borderId="11" xfId="0" applyNumberFormat="1" applyFont="1" applyFill="1" applyBorder="1" applyAlignment="1">
      <alignment vertical="center"/>
    </xf>
    <xf numFmtId="0" fontId="3" fillId="34" borderId="10" xfId="0" applyFont="1" applyFill="1" applyBorder="1" applyAlignment="1">
      <alignment vertical="center"/>
    </xf>
    <xf numFmtId="166" fontId="2" fillId="34" borderId="10" xfId="0" applyNumberFormat="1" applyFont="1" applyFill="1" applyBorder="1" applyAlignment="1">
      <alignment vertical="center"/>
    </xf>
    <xf numFmtId="0" fontId="2" fillId="34" borderId="0" xfId="0" applyFont="1" applyFill="1" applyAlignment="1">
      <alignment vertical="center"/>
    </xf>
    <xf numFmtId="0" fontId="3" fillId="34" borderId="12" xfId="0" applyFont="1" applyFill="1" applyBorder="1" applyAlignment="1">
      <alignment vertical="center"/>
    </xf>
    <xf numFmtId="166" fontId="2" fillId="34" borderId="12" xfId="0" applyNumberFormat="1" applyFont="1" applyFill="1" applyBorder="1" applyAlignment="1">
      <alignment horizontal="right" vertical="center"/>
    </xf>
    <xf numFmtId="166" fontId="3" fillId="34" borderId="12" xfId="0" applyNumberFormat="1" applyFont="1" applyFill="1" applyBorder="1" applyAlignment="1">
      <alignment horizontal="right" vertical="center"/>
    </xf>
    <xf numFmtId="0" fontId="2" fillId="33" borderId="0" xfId="0" applyFont="1" applyFill="1" applyBorder="1" applyAlignment="1">
      <alignment horizontal="left" vertical="center" indent="1"/>
    </xf>
    <xf numFmtId="165" fontId="2" fillId="33" borderId="0" xfId="0" applyNumberFormat="1" applyFont="1" applyFill="1" applyBorder="1" applyAlignment="1">
      <alignment vertical="center"/>
    </xf>
    <xf numFmtId="166" fontId="2" fillId="33" borderId="0" xfId="0" applyNumberFormat="1" applyFont="1" applyFill="1" applyBorder="1" applyAlignment="1">
      <alignment horizontal="right" vertical="center"/>
    </xf>
    <xf numFmtId="166" fontId="2" fillId="34" borderId="10" xfId="0" applyNumberFormat="1" applyFont="1" applyFill="1" applyBorder="1" applyAlignment="1">
      <alignment horizontal="right" vertical="center"/>
    </xf>
    <xf numFmtId="166" fontId="3" fillId="33" borderId="0" xfId="0" applyNumberFormat="1" applyFont="1" applyFill="1" applyBorder="1" applyAlignment="1">
      <alignment horizontal="right" vertical="center"/>
    </xf>
    <xf numFmtId="0" fontId="2" fillId="33" borderId="12" xfId="0" applyFont="1" applyFill="1" applyBorder="1" applyAlignment="1">
      <alignment horizontal="left" vertical="center" indent="1"/>
    </xf>
    <xf numFmtId="0" fontId="2" fillId="33" borderId="11" xfId="0" applyFont="1" applyFill="1" applyBorder="1" applyAlignment="1">
      <alignment horizontal="left" vertical="center" indent="1"/>
    </xf>
    <xf numFmtId="0" fontId="3" fillId="33" borderId="0" xfId="0" applyFont="1" applyFill="1" applyBorder="1" applyAlignment="1">
      <alignment horizontal="righ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horizontal="right" vertical="center"/>
    </xf>
    <xf numFmtId="166" fontId="6" fillId="33" borderId="0" xfId="0" applyNumberFormat="1" applyFont="1" applyFill="1" applyBorder="1" applyAlignment="1">
      <alignment vertical="center"/>
    </xf>
    <xf numFmtId="0" fontId="2" fillId="33" borderId="11" xfId="0" applyFont="1" applyFill="1" applyBorder="1" applyAlignment="1">
      <alignment vertical="center"/>
    </xf>
    <xf numFmtId="166" fontId="6" fillId="33" borderId="11" xfId="0" applyNumberFormat="1" applyFont="1" applyFill="1" applyBorder="1" applyAlignment="1">
      <alignment vertical="center"/>
    </xf>
    <xf numFmtId="166" fontId="7" fillId="33" borderId="0" xfId="0" applyNumberFormat="1" applyFont="1" applyFill="1" applyBorder="1" applyAlignment="1">
      <alignment vertical="center"/>
    </xf>
    <xf numFmtId="0" fontId="8" fillId="33" borderId="0" xfId="0" applyFont="1" applyFill="1" applyBorder="1" applyAlignment="1">
      <alignment vertical="center"/>
    </xf>
    <xf numFmtId="166" fontId="8" fillId="33" borderId="0" xfId="0" applyNumberFormat="1" applyFont="1" applyFill="1" applyBorder="1" applyAlignment="1">
      <alignment vertical="center"/>
    </xf>
    <xf numFmtId="0" fontId="2" fillId="33" borderId="14" xfId="0" applyFont="1" applyFill="1" applyBorder="1" applyAlignment="1">
      <alignment horizontal="left" vertical="center" indent="1"/>
    </xf>
    <xf numFmtId="0" fontId="2" fillId="33" borderId="14" xfId="0" applyFont="1" applyFill="1" applyBorder="1" applyAlignment="1">
      <alignment vertical="center"/>
    </xf>
    <xf numFmtId="0" fontId="8" fillId="33" borderId="0" xfId="0" applyFont="1" applyFill="1" applyBorder="1" applyAlignment="1">
      <alignment horizontal="right" vertical="center"/>
    </xf>
    <xf numFmtId="0" fontId="2" fillId="33" borderId="14" xfId="0" applyFont="1" applyFill="1" applyBorder="1" applyAlignment="1">
      <alignment horizontal="right" vertical="center"/>
    </xf>
    <xf numFmtId="0" fontId="10" fillId="33" borderId="12" xfId="0" applyFont="1" applyFill="1" applyBorder="1" applyAlignment="1">
      <alignment vertical="center"/>
    </xf>
    <xf numFmtId="0" fontId="2" fillId="33" borderId="12" xfId="0" applyFont="1" applyFill="1" applyBorder="1" applyAlignment="1">
      <alignment vertical="center"/>
    </xf>
    <xf numFmtId="0" fontId="2" fillId="33" borderId="12" xfId="0" applyFont="1" applyFill="1" applyBorder="1" applyAlignment="1">
      <alignment horizontal="right" vertical="center"/>
    </xf>
    <xf numFmtId="3" fontId="2" fillId="33" borderId="0" xfId="0" applyNumberFormat="1" applyFont="1" applyFill="1" applyBorder="1" applyAlignment="1">
      <alignment horizontal="right" vertical="center"/>
    </xf>
    <xf numFmtId="9" fontId="2" fillId="33" borderId="0" xfId="0" applyNumberFormat="1" applyFont="1" applyFill="1" applyBorder="1" applyAlignment="1">
      <alignment horizontal="right" vertical="center"/>
    </xf>
    <xf numFmtId="9" fontId="2" fillId="33" borderId="0" xfId="0" applyNumberFormat="1" applyFont="1" applyFill="1" applyBorder="1" applyAlignment="1" quotePrefix="1">
      <alignment horizontal="right" vertical="center"/>
    </xf>
    <xf numFmtId="3" fontId="2" fillId="33" borderId="0" xfId="0" applyNumberFormat="1" applyFont="1" applyFill="1" applyBorder="1" applyAlignment="1" quotePrefix="1">
      <alignment horizontal="right" vertical="center"/>
    </xf>
    <xf numFmtId="3" fontId="2" fillId="33" borderId="15" xfId="0" applyNumberFormat="1" applyFont="1" applyFill="1" applyBorder="1" applyAlignment="1">
      <alignment horizontal="right" vertical="center"/>
    </xf>
    <xf numFmtId="9" fontId="2" fillId="33" borderId="15" xfId="0" applyNumberFormat="1" applyFont="1" applyFill="1" applyBorder="1" applyAlignment="1">
      <alignment horizontal="right" vertical="center"/>
    </xf>
    <xf numFmtId="2" fontId="2" fillId="33" borderId="15" xfId="0" applyNumberFormat="1" applyFont="1" applyFill="1" applyBorder="1" applyAlignment="1">
      <alignment horizontal="right" vertical="center"/>
    </xf>
    <xf numFmtId="2" fontId="2" fillId="33" borderId="15" xfId="0" applyNumberFormat="1" applyFont="1" applyFill="1" applyBorder="1" applyAlignment="1">
      <alignment vertical="center"/>
    </xf>
    <xf numFmtId="2" fontId="2" fillId="33" borderId="0" xfId="0" applyNumberFormat="1" applyFont="1" applyFill="1" applyBorder="1" applyAlignment="1">
      <alignment horizontal="right" vertical="center"/>
    </xf>
    <xf numFmtId="2" fontId="2" fillId="33" borderId="0" xfId="0" applyNumberFormat="1" applyFont="1" applyFill="1" applyBorder="1" applyAlignment="1">
      <alignment vertical="center"/>
    </xf>
    <xf numFmtId="0" fontId="9" fillId="33" borderId="0" xfId="0" applyFont="1" applyFill="1" applyBorder="1" applyAlignment="1">
      <alignment vertical="center"/>
    </xf>
    <xf numFmtId="3" fontId="2" fillId="33" borderId="12" xfId="0" applyNumberFormat="1" applyFont="1" applyFill="1" applyBorder="1" applyAlignment="1">
      <alignment horizontal="right" vertical="center"/>
    </xf>
    <xf numFmtId="9" fontId="2" fillId="33" borderId="12" xfId="0" applyNumberFormat="1" applyFont="1" applyFill="1" applyBorder="1" applyAlignment="1" quotePrefix="1">
      <alignment horizontal="right" vertical="center"/>
    </xf>
    <xf numFmtId="9" fontId="2" fillId="33" borderId="12" xfId="0" applyNumberFormat="1" applyFont="1" applyFill="1" applyBorder="1" applyAlignment="1">
      <alignment horizontal="right" vertical="center"/>
    </xf>
    <xf numFmtId="0" fontId="9" fillId="33" borderId="12" xfId="0" applyFont="1" applyFill="1" applyBorder="1" applyAlignment="1">
      <alignment vertical="center"/>
    </xf>
    <xf numFmtId="3" fontId="2" fillId="33" borderId="0" xfId="0" applyNumberFormat="1" applyFont="1" applyFill="1" applyBorder="1" applyAlignment="1">
      <alignment vertical="center"/>
    </xf>
    <xf numFmtId="4" fontId="2" fillId="33" borderId="0" xfId="0" applyNumberFormat="1" applyFont="1" applyFill="1" applyBorder="1" applyAlignment="1">
      <alignment horizontal="right" vertical="center"/>
    </xf>
    <xf numFmtId="164" fontId="9" fillId="34" borderId="12" xfId="0" applyNumberFormat="1" applyFont="1" applyFill="1" applyBorder="1" applyAlignment="1">
      <alignment horizontal="right" vertical="center"/>
    </xf>
    <xf numFmtId="164" fontId="12" fillId="33" borderId="0" xfId="0" applyNumberFormat="1" applyFont="1" applyFill="1" applyBorder="1" applyAlignment="1">
      <alignment horizontal="right" vertical="center"/>
    </xf>
    <xf numFmtId="2" fontId="12" fillId="33" borderId="13" xfId="0" applyNumberFormat="1" applyFont="1" applyFill="1" applyBorder="1" applyAlignment="1">
      <alignment horizontal="right" vertical="center"/>
    </xf>
    <xf numFmtId="0" fontId="2" fillId="34" borderId="12" xfId="0" applyFont="1" applyFill="1" applyBorder="1" applyAlignment="1">
      <alignment vertical="center"/>
    </xf>
    <xf numFmtId="164" fontId="2" fillId="33" borderId="0" xfId="0" applyNumberFormat="1" applyFont="1" applyFill="1" applyBorder="1" applyAlignment="1">
      <alignment horizontal="left" vertical="center"/>
    </xf>
    <xf numFmtId="0" fontId="2" fillId="33" borderId="16" xfId="0" applyFont="1" applyFill="1" applyBorder="1" applyAlignment="1">
      <alignment vertical="center"/>
    </xf>
    <xf numFmtId="166" fontId="2" fillId="33" borderId="16" xfId="0" applyNumberFormat="1" applyFont="1" applyFill="1" applyBorder="1" applyAlignment="1">
      <alignment vertical="center"/>
    </xf>
    <xf numFmtId="166" fontId="6" fillId="33" borderId="16" xfId="0" applyNumberFormat="1" applyFont="1" applyFill="1" applyBorder="1" applyAlignment="1">
      <alignment vertical="center"/>
    </xf>
    <xf numFmtId="164" fontId="2" fillId="34" borderId="12" xfId="0" applyNumberFormat="1" applyFont="1" applyFill="1" applyBorder="1" applyAlignment="1">
      <alignment horizontal="right" vertical="center"/>
    </xf>
    <xf numFmtId="164" fontId="14" fillId="33" borderId="0" xfId="0" applyNumberFormat="1" applyFont="1" applyFill="1" applyBorder="1" applyAlignment="1">
      <alignment horizontal="right" vertical="center"/>
    </xf>
    <xf numFmtId="164" fontId="6" fillId="33" borderId="0" xfId="0" applyNumberFormat="1" applyFont="1" applyFill="1" applyBorder="1" applyAlignment="1">
      <alignment horizontal="right" vertical="center"/>
    </xf>
    <xf numFmtId="164" fontId="6" fillId="33" borderId="10" xfId="0" applyNumberFormat="1" applyFont="1" applyFill="1" applyBorder="1" applyAlignment="1">
      <alignment horizontal="right" vertical="center"/>
    </xf>
    <xf numFmtId="164" fontId="6" fillId="33" borderId="11" xfId="0" applyNumberFormat="1" applyFont="1" applyFill="1" applyBorder="1" applyAlignment="1">
      <alignment horizontal="right" vertical="center"/>
    </xf>
    <xf numFmtId="166" fontId="6" fillId="33" borderId="0" xfId="0" applyNumberFormat="1" applyFont="1" applyFill="1" applyBorder="1" applyAlignment="1">
      <alignment horizontal="right" vertical="center"/>
    </xf>
    <xf numFmtId="164" fontId="15" fillId="33" borderId="0" xfId="0" applyNumberFormat="1" applyFont="1" applyFill="1" applyBorder="1" applyAlignment="1">
      <alignment horizontal="right" vertical="center"/>
    </xf>
    <xf numFmtId="164" fontId="6" fillId="34" borderId="10" xfId="0" applyNumberFormat="1" applyFont="1" applyFill="1" applyBorder="1" applyAlignment="1">
      <alignment horizontal="right" vertical="center"/>
    </xf>
    <xf numFmtId="166" fontId="16" fillId="33" borderId="0" xfId="0" applyNumberFormat="1" applyFont="1" applyFill="1" applyBorder="1" applyAlignment="1">
      <alignment horizontal="right" vertical="center"/>
    </xf>
    <xf numFmtId="164" fontId="9" fillId="33" borderId="0" xfId="0" applyNumberFormat="1" applyFont="1" applyFill="1" applyBorder="1" applyAlignment="1">
      <alignment horizontal="right" vertical="center"/>
    </xf>
    <xf numFmtId="0" fontId="9" fillId="33" borderId="0" xfId="0" applyFont="1" applyFill="1" applyBorder="1" applyAlignment="1">
      <alignment horizontal="right" vertical="center"/>
    </xf>
    <xf numFmtId="164" fontId="6" fillId="33" borderId="16" xfId="0" applyNumberFormat="1" applyFont="1" applyFill="1" applyBorder="1" applyAlignment="1">
      <alignment horizontal="right" vertical="center"/>
    </xf>
    <xf numFmtId="3" fontId="8" fillId="33" borderId="0" xfId="0" applyNumberFormat="1" applyFont="1" applyFill="1" applyBorder="1" applyAlignment="1">
      <alignment vertical="center"/>
    </xf>
    <xf numFmtId="0" fontId="9" fillId="33" borderId="17" xfId="0" applyFont="1" applyFill="1" applyBorder="1" applyAlignment="1">
      <alignment vertical="center"/>
    </xf>
    <xf numFmtId="3" fontId="2" fillId="33" borderId="17" xfId="0" applyNumberFormat="1" applyFont="1" applyFill="1" applyBorder="1" applyAlignment="1">
      <alignment horizontal="right" vertical="center"/>
    </xf>
    <xf numFmtId="9" fontId="2" fillId="33" borderId="17" xfId="0" applyNumberFormat="1" applyFont="1" applyFill="1" applyBorder="1" applyAlignment="1" quotePrefix="1">
      <alignment horizontal="right" vertical="center"/>
    </xf>
    <xf numFmtId="3" fontId="2" fillId="33" borderId="18" xfId="0" applyNumberFormat="1" applyFont="1" applyFill="1" applyBorder="1" applyAlignment="1">
      <alignment horizontal="right" vertical="center"/>
    </xf>
    <xf numFmtId="0" fontId="2" fillId="33" borderId="19" xfId="0" applyFont="1" applyFill="1" applyBorder="1" applyAlignment="1">
      <alignment vertical="center"/>
    </xf>
    <xf numFmtId="3" fontId="2" fillId="33" borderId="20" xfId="0" applyNumberFormat="1" applyFont="1" applyFill="1" applyBorder="1" applyAlignment="1">
      <alignment horizontal="righ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1" fontId="8" fillId="33" borderId="0" xfId="0" applyNumberFormat="1" applyFont="1" applyFill="1" applyBorder="1" applyAlignment="1">
      <alignment vertical="center"/>
    </xf>
    <xf numFmtId="1" fontId="2" fillId="33" borderId="0" xfId="0" applyNumberFormat="1" applyFont="1" applyFill="1" applyBorder="1" applyAlignment="1">
      <alignment vertical="center"/>
    </xf>
    <xf numFmtId="164" fontId="3" fillId="33" borderId="0" xfId="0" applyNumberFormat="1" applyFont="1" applyFill="1" applyBorder="1" applyAlignment="1">
      <alignment horizontal="right" vertical="center"/>
    </xf>
    <xf numFmtId="164" fontId="3" fillId="33" borderId="12" xfId="0" applyNumberFormat="1" applyFont="1" applyFill="1" applyBorder="1" applyAlignment="1">
      <alignment horizontal="right" vertical="center"/>
    </xf>
    <xf numFmtId="9" fontId="3" fillId="33" borderId="0" xfId="0" applyNumberFormat="1" applyFont="1" applyFill="1" applyBorder="1" applyAlignment="1">
      <alignment horizontal="right" vertical="center"/>
    </xf>
    <xf numFmtId="2" fontId="13" fillId="33" borderId="22" xfId="0" applyNumberFormat="1" applyFont="1" applyFill="1" applyBorder="1" applyAlignment="1">
      <alignment vertical="center"/>
    </xf>
    <xf numFmtId="2" fontId="13" fillId="33" borderId="20" xfId="0" applyNumberFormat="1" applyFont="1" applyFill="1" applyBorder="1" applyAlignment="1">
      <alignment vertical="center"/>
    </xf>
    <xf numFmtId="2" fontId="13" fillId="33" borderId="23" xfId="0" applyNumberFormat="1" applyFont="1" applyFill="1" applyBorder="1" applyAlignment="1">
      <alignment vertical="center"/>
    </xf>
    <xf numFmtId="166" fontId="14" fillId="33" borderId="0" xfId="0" applyNumberFormat="1" applyFont="1" applyFill="1" applyBorder="1" applyAlignment="1">
      <alignment vertical="center"/>
    </xf>
    <xf numFmtId="166" fontId="15" fillId="34" borderId="12" xfId="0" applyNumberFormat="1" applyFont="1" applyFill="1" applyBorder="1" applyAlignment="1">
      <alignment horizontal="right" vertical="center"/>
    </xf>
    <xf numFmtId="166" fontId="6" fillId="33" borderId="10" xfId="0" applyNumberFormat="1" applyFont="1" applyFill="1" applyBorder="1" applyAlignment="1">
      <alignment vertical="center"/>
    </xf>
    <xf numFmtId="166" fontId="6" fillId="34" borderId="10" xfId="0" applyNumberFormat="1" applyFont="1" applyFill="1" applyBorder="1" applyAlignment="1">
      <alignment vertical="center"/>
    </xf>
    <xf numFmtId="166" fontId="6" fillId="34" borderId="12" xfId="0" applyNumberFormat="1" applyFont="1" applyFill="1" applyBorder="1" applyAlignment="1">
      <alignment vertical="center"/>
    </xf>
    <xf numFmtId="0" fontId="8" fillId="34" borderId="0" xfId="0" applyFont="1" applyFill="1" applyBorder="1" applyAlignment="1">
      <alignment vertical="center"/>
    </xf>
    <xf numFmtId="0" fontId="8" fillId="34" borderId="0" xfId="0" applyFont="1" applyFill="1" applyAlignment="1">
      <alignment vertical="center"/>
    </xf>
    <xf numFmtId="0" fontId="2" fillId="34" borderId="0" xfId="0" applyFont="1" applyFill="1" applyBorder="1" applyAlignment="1">
      <alignment vertical="center"/>
    </xf>
    <xf numFmtId="3" fontId="2" fillId="34" borderId="0" xfId="0" applyNumberFormat="1" applyFont="1" applyFill="1" applyBorder="1" applyAlignment="1">
      <alignment horizontal="right" vertical="center"/>
    </xf>
    <xf numFmtId="9" fontId="2" fillId="34" borderId="0" xfId="0" applyNumberFormat="1" applyFont="1" applyFill="1" applyBorder="1" applyAlignment="1">
      <alignment horizontal="right" vertical="center"/>
    </xf>
    <xf numFmtId="0" fontId="2" fillId="34" borderId="0" xfId="0" applyFont="1" applyFill="1" applyBorder="1" applyAlignment="1">
      <alignment horizontal="right" vertical="center"/>
    </xf>
    <xf numFmtId="0" fontId="9" fillId="33" borderId="12" xfId="0" applyFont="1" applyFill="1" applyBorder="1" applyAlignment="1">
      <alignment horizontal="righ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24" xfId="0" applyFont="1" applyFill="1" applyBorder="1" applyAlignment="1">
      <alignment horizontal="right" vertical="center"/>
    </xf>
    <xf numFmtId="3" fontId="2" fillId="33" borderId="16" xfId="0" applyNumberFormat="1" applyFont="1" applyFill="1" applyBorder="1" applyAlignment="1">
      <alignment horizontal="right" vertical="center"/>
    </xf>
    <xf numFmtId="0" fontId="2" fillId="33" borderId="26" xfId="0" applyFont="1" applyFill="1" applyBorder="1" applyAlignment="1">
      <alignment vertical="center"/>
    </xf>
    <xf numFmtId="9" fontId="2" fillId="33" borderId="16" xfId="0" applyNumberFormat="1" applyFont="1" applyFill="1" applyBorder="1" applyAlignment="1">
      <alignment horizontal="right" vertical="center"/>
    </xf>
    <xf numFmtId="3" fontId="2" fillId="33" borderId="25" xfId="0" applyNumberFormat="1" applyFont="1" applyFill="1" applyBorder="1" applyAlignment="1">
      <alignment horizontal="center" vertical="center"/>
    </xf>
    <xf numFmtId="0" fontId="2" fillId="33" borderId="25" xfId="0" applyFont="1" applyFill="1" applyBorder="1" applyAlignment="1">
      <alignment horizontal="right" vertical="center"/>
    </xf>
    <xf numFmtId="166" fontId="6" fillId="33" borderId="25" xfId="0" applyNumberFormat="1" applyFont="1" applyFill="1" applyBorder="1" applyAlignment="1">
      <alignment vertical="center"/>
    </xf>
    <xf numFmtId="2" fontId="2" fillId="33" borderId="25" xfId="0" applyNumberFormat="1" applyFont="1" applyFill="1" applyBorder="1" applyAlignment="1">
      <alignment vertical="center"/>
    </xf>
    <xf numFmtId="0" fontId="2" fillId="33" borderId="27" xfId="0" applyFont="1" applyFill="1" applyBorder="1" applyAlignment="1">
      <alignment vertical="center"/>
    </xf>
    <xf numFmtId="166" fontId="2" fillId="33" borderId="25" xfId="0" applyNumberFormat="1" applyFont="1" applyFill="1" applyBorder="1" applyAlignment="1">
      <alignment horizontal="right" vertical="center"/>
    </xf>
    <xf numFmtId="0" fontId="8" fillId="33" borderId="24" xfId="0" applyFont="1" applyFill="1" applyBorder="1" applyAlignment="1">
      <alignment vertical="center"/>
    </xf>
    <xf numFmtId="0" fontId="2" fillId="33" borderId="28" xfId="0" applyFont="1" applyFill="1" applyBorder="1" applyAlignment="1">
      <alignment vertical="center"/>
    </xf>
    <xf numFmtId="0" fontId="2" fillId="33" borderId="15" xfId="0" applyFont="1" applyFill="1" applyBorder="1" applyAlignment="1">
      <alignment vertical="center"/>
    </xf>
    <xf numFmtId="0" fontId="2" fillId="33" borderId="29" xfId="0" applyFont="1" applyFill="1" applyBorder="1" applyAlignment="1">
      <alignment vertical="center"/>
    </xf>
    <xf numFmtId="0" fontId="12" fillId="33" borderId="0" xfId="0" applyFont="1" applyFill="1" applyBorder="1" applyAlignment="1">
      <alignment vertical="center"/>
    </xf>
    <xf numFmtId="171" fontId="17" fillId="33" borderId="0" xfId="0" applyNumberFormat="1" applyFont="1" applyFill="1" applyBorder="1" applyAlignment="1">
      <alignment horizontal="left" vertical="center"/>
    </xf>
    <xf numFmtId="1" fontId="2" fillId="33" borderId="12" xfId="0" applyNumberFormat="1" applyFont="1" applyFill="1" applyBorder="1" applyAlignment="1">
      <alignment vertical="center"/>
    </xf>
    <xf numFmtId="0" fontId="2" fillId="34" borderId="0" xfId="0" applyFont="1" applyFill="1" applyAlignment="1">
      <alignment horizontal="right" vertical="center"/>
    </xf>
    <xf numFmtId="1" fontId="2" fillId="34" borderId="0" xfId="0" applyNumberFormat="1" applyFont="1" applyFill="1" applyAlignment="1">
      <alignment vertical="center"/>
    </xf>
    <xf numFmtId="0" fontId="2" fillId="33" borderId="15" xfId="0" applyFont="1" applyFill="1" applyBorder="1" applyAlignment="1">
      <alignment horizontal="right" vertical="center"/>
    </xf>
    <xf numFmtId="1" fontId="2" fillId="33" borderId="15" xfId="0" applyNumberFormat="1" applyFont="1" applyFill="1" applyBorder="1" applyAlignment="1">
      <alignment vertical="center"/>
    </xf>
    <xf numFmtId="0" fontId="8" fillId="33" borderId="25" xfId="0" applyFont="1" applyFill="1" applyBorder="1" applyAlignment="1">
      <alignment vertical="center"/>
    </xf>
    <xf numFmtId="0" fontId="9" fillId="33" borderId="0" xfId="0" applyFont="1" applyFill="1" applyBorder="1" applyAlignment="1">
      <alignment horizontal="left" vertical="center" indent="1"/>
    </xf>
    <xf numFmtId="0" fontId="2" fillId="33" borderId="16" xfId="0" applyFont="1" applyFill="1" applyBorder="1" applyAlignment="1">
      <alignment horizontal="right" vertical="center"/>
    </xf>
    <xf numFmtId="1" fontId="2" fillId="33" borderId="16" xfId="0" applyNumberFormat="1" applyFont="1" applyFill="1" applyBorder="1" applyAlignment="1">
      <alignment vertical="center"/>
    </xf>
    <xf numFmtId="3" fontId="11" fillId="35" borderId="30" xfId="0" applyNumberFormat="1" applyFont="1" applyFill="1" applyBorder="1" applyAlignment="1" applyProtection="1">
      <alignment horizontal="right" vertical="center"/>
      <protection locked="0"/>
    </xf>
    <xf numFmtId="9" fontId="11" fillId="35" borderId="31" xfId="0" applyNumberFormat="1" applyFont="1" applyFill="1" applyBorder="1" applyAlignment="1" applyProtection="1">
      <alignment horizontal="right" vertical="center"/>
      <protection locked="0"/>
    </xf>
    <xf numFmtId="9" fontId="11" fillId="35" borderId="32" xfId="0" applyNumberFormat="1" applyFont="1" applyFill="1" applyBorder="1" applyAlignment="1" applyProtection="1">
      <alignment horizontal="right" vertical="center"/>
      <protection locked="0"/>
    </xf>
    <xf numFmtId="9" fontId="11" fillId="35" borderId="30" xfId="0" applyNumberFormat="1" applyFont="1" applyFill="1" applyBorder="1" applyAlignment="1" applyProtection="1">
      <alignment horizontal="right" vertical="center"/>
      <protection locked="0"/>
    </xf>
    <xf numFmtId="3" fontId="11" fillId="35" borderId="31" xfId="0" applyNumberFormat="1" applyFont="1" applyFill="1" applyBorder="1" applyAlignment="1" applyProtection="1">
      <alignment horizontal="right" vertical="center"/>
      <protection locked="0"/>
    </xf>
    <xf numFmtId="3" fontId="11" fillId="35" borderId="32" xfId="0" applyNumberFormat="1" applyFont="1" applyFill="1" applyBorder="1" applyAlignment="1" applyProtection="1">
      <alignment horizontal="right" vertical="center"/>
      <protection locked="0"/>
    </xf>
    <xf numFmtId="3" fontId="11" fillId="35" borderId="33" xfId="0" applyNumberFormat="1" applyFont="1" applyFill="1" applyBorder="1" applyAlignment="1" applyProtection="1">
      <alignment horizontal="right" vertical="center"/>
      <protection locked="0"/>
    </xf>
    <xf numFmtId="0" fontId="2" fillId="33" borderId="0" xfId="0" applyFont="1" applyFill="1" applyBorder="1" applyAlignment="1" applyProtection="1">
      <alignment vertical="center"/>
      <protection/>
    </xf>
    <xf numFmtId="0" fontId="9" fillId="34" borderId="0" xfId="0" applyFont="1" applyFill="1" applyAlignment="1">
      <alignment horizontal="right" vertical="center"/>
    </xf>
    <xf numFmtId="3" fontId="2" fillId="34" borderId="0" xfId="0" applyNumberFormat="1" applyFont="1" applyFill="1" applyAlignment="1">
      <alignment vertical="center"/>
    </xf>
    <xf numFmtId="164" fontId="6" fillId="34" borderId="0" xfId="0" applyNumberFormat="1" applyFont="1" applyFill="1" applyAlignment="1">
      <alignment horizontal="right" vertical="center"/>
    </xf>
    <xf numFmtId="166" fontId="2" fillId="34" borderId="0" xfId="0" applyNumberFormat="1" applyFont="1" applyFill="1" applyAlignment="1">
      <alignment vertical="center"/>
    </xf>
    <xf numFmtId="166" fontId="6" fillId="34" borderId="0" xfId="0" applyNumberFormat="1" applyFont="1" applyFill="1" applyAlignment="1">
      <alignment vertical="center"/>
    </xf>
    <xf numFmtId="0" fontId="3" fillId="34" borderId="0" xfId="0" applyFont="1" applyFill="1" applyAlignment="1">
      <alignment vertical="center"/>
    </xf>
    <xf numFmtId="166" fontId="3" fillId="33" borderId="12" xfId="0" applyNumberFormat="1" applyFont="1" applyFill="1" applyBorder="1" applyAlignment="1">
      <alignment horizontal="right" vertical="center"/>
    </xf>
    <xf numFmtId="166" fontId="15" fillId="33" borderId="12" xfId="0" applyNumberFormat="1" applyFont="1" applyFill="1" applyBorder="1" applyAlignment="1">
      <alignment horizontal="right" vertical="center"/>
    </xf>
    <xf numFmtId="0" fontId="3" fillId="33" borderId="10" xfId="0" applyFont="1" applyFill="1" applyBorder="1" applyAlignment="1">
      <alignment vertical="center"/>
    </xf>
    <xf numFmtId="166" fontId="3" fillId="33" borderId="0" xfId="0" applyNumberFormat="1" applyFont="1" applyFill="1" applyBorder="1" applyAlignment="1">
      <alignment vertical="center"/>
    </xf>
    <xf numFmtId="166" fontId="15" fillId="33" borderId="0" xfId="0" applyNumberFormat="1" applyFont="1" applyFill="1" applyBorder="1" applyAlignment="1">
      <alignment vertical="center"/>
    </xf>
    <xf numFmtId="166" fontId="6" fillId="33" borderId="12" xfId="0" applyNumberFormat="1" applyFont="1" applyFill="1" applyBorder="1" applyAlignment="1">
      <alignment vertical="center"/>
    </xf>
    <xf numFmtId="0" fontId="9" fillId="33" borderId="15" xfId="0" applyFont="1" applyFill="1" applyBorder="1" applyAlignment="1">
      <alignment horizontal="right" vertical="center"/>
    </xf>
    <xf numFmtId="3" fontId="2" fillId="33" borderId="15" xfId="0" applyNumberFormat="1" applyFont="1" applyFill="1" applyBorder="1" applyAlignment="1">
      <alignment vertical="center"/>
    </xf>
    <xf numFmtId="164" fontId="6" fillId="33" borderId="15" xfId="0" applyNumberFormat="1" applyFont="1" applyFill="1" applyBorder="1" applyAlignment="1">
      <alignment horizontal="right" vertical="center"/>
    </xf>
    <xf numFmtId="166" fontId="2" fillId="33" borderId="15" xfId="0" applyNumberFormat="1" applyFont="1" applyFill="1" applyBorder="1" applyAlignment="1">
      <alignment vertical="center"/>
    </xf>
    <xf numFmtId="166" fontId="6" fillId="33" borderId="15" xfId="0" applyNumberFormat="1" applyFont="1" applyFill="1" applyBorder="1" applyAlignment="1">
      <alignment vertical="center"/>
    </xf>
    <xf numFmtId="0" fontId="6" fillId="33" borderId="0" xfId="0" applyFont="1" applyFill="1" applyBorder="1" applyAlignment="1">
      <alignment horizontal="right" vertical="center"/>
    </xf>
    <xf numFmtId="0" fontId="3" fillId="33" borderId="25" xfId="0" applyFont="1" applyFill="1" applyBorder="1" applyAlignment="1">
      <alignment vertical="center"/>
    </xf>
    <xf numFmtId="0" fontId="15" fillId="33" borderId="0" xfId="0" applyFont="1" applyFill="1" applyBorder="1" applyAlignment="1">
      <alignment horizontal="right" vertical="center"/>
    </xf>
    <xf numFmtId="0" fontId="3" fillId="33" borderId="24" xfId="0" applyFont="1" applyFill="1" applyBorder="1" applyAlignment="1">
      <alignment vertical="center"/>
    </xf>
    <xf numFmtId="2" fontId="12" fillId="33" borderId="0" xfId="0" applyNumberFormat="1" applyFont="1" applyFill="1" applyBorder="1" applyAlignment="1">
      <alignment horizontal="right" vertical="center"/>
    </xf>
    <xf numFmtId="0" fontId="2" fillId="33" borderId="0" xfId="0" applyFont="1" applyFill="1" applyBorder="1" applyAlignment="1">
      <alignment horizontal="left" vertical="center"/>
    </xf>
    <xf numFmtId="3" fontId="6" fillId="33" borderId="0" xfId="0" applyNumberFormat="1" applyFont="1" applyFill="1" applyBorder="1" applyAlignment="1">
      <alignment horizontal="right" vertical="center"/>
    </xf>
    <xf numFmtId="4" fontId="2" fillId="33" borderId="0" xfId="0" applyNumberFormat="1" applyFont="1" applyFill="1" applyBorder="1" applyAlignment="1">
      <alignment vertical="center"/>
    </xf>
    <xf numFmtId="0" fontId="9" fillId="33" borderId="16" xfId="0" applyFont="1" applyFill="1" applyBorder="1" applyAlignment="1">
      <alignment horizontal="right" vertical="center"/>
    </xf>
    <xf numFmtId="3" fontId="2" fillId="33" borderId="16" xfId="0" applyNumberFormat="1" applyFont="1" applyFill="1" applyBorder="1" applyAlignment="1">
      <alignment vertical="center"/>
    </xf>
    <xf numFmtId="1" fontId="2" fillId="33" borderId="0" xfId="0" applyNumberFormat="1" applyFont="1" applyFill="1" applyBorder="1" applyAlignment="1">
      <alignment horizontal="right" vertical="center"/>
    </xf>
    <xf numFmtId="0" fontId="2" fillId="33" borderId="0" xfId="0" applyFont="1" applyFill="1" applyBorder="1" applyAlignment="1">
      <alignment horizontal="left" vertical="center" wrapText="1" indent="1"/>
    </xf>
    <xf numFmtId="3" fontId="3" fillId="36" borderId="0" xfId="0" applyNumberFormat="1" applyFont="1" applyFill="1" applyBorder="1" applyAlignment="1">
      <alignment vertical="center"/>
    </xf>
    <xf numFmtId="164" fontId="2" fillId="36" borderId="0" xfId="0" applyNumberFormat="1" applyFont="1" applyFill="1" applyBorder="1" applyAlignment="1">
      <alignment vertical="center"/>
    </xf>
    <xf numFmtId="3" fontId="3" fillId="36" borderId="0" xfId="0" applyNumberFormat="1" applyFont="1" applyFill="1" applyBorder="1" applyAlignment="1">
      <alignment horizontal="right" vertical="center"/>
    </xf>
    <xf numFmtId="3" fontId="2" fillId="36" borderId="0" xfId="0" applyNumberFormat="1" applyFont="1" applyFill="1" applyBorder="1" applyAlignment="1">
      <alignment vertical="center"/>
    </xf>
    <xf numFmtId="3" fontId="2" fillId="36" borderId="13" xfId="0" applyNumberFormat="1" applyFont="1" applyFill="1" applyBorder="1" applyAlignment="1">
      <alignment vertical="center"/>
    </xf>
    <xf numFmtId="164" fontId="12" fillId="37" borderId="0" xfId="0" applyNumberFormat="1" applyFont="1" applyFill="1" applyBorder="1" applyAlignment="1">
      <alignment horizontal="right" vertical="center"/>
    </xf>
    <xf numFmtId="166" fontId="6" fillId="37" borderId="0" xfId="0" applyNumberFormat="1" applyFont="1" applyFill="1" applyAlignment="1">
      <alignment vertical="center"/>
    </xf>
    <xf numFmtId="166" fontId="2" fillId="37" borderId="0" xfId="0" applyNumberFormat="1" applyFont="1" applyFill="1" applyBorder="1" applyAlignment="1">
      <alignment vertical="center"/>
    </xf>
    <xf numFmtId="166" fontId="2" fillId="37" borderId="14" xfId="0" applyNumberFormat="1" applyFont="1" applyFill="1" applyBorder="1" applyAlignment="1">
      <alignment vertical="center"/>
    </xf>
    <xf numFmtId="2" fontId="12" fillId="37" borderId="13" xfId="0" applyNumberFormat="1" applyFont="1" applyFill="1" applyBorder="1" applyAlignment="1">
      <alignment horizontal="right" vertical="center"/>
    </xf>
    <xf numFmtId="2" fontId="12" fillId="37" borderId="0" xfId="0" applyNumberFormat="1" applyFont="1" applyFill="1" applyBorder="1" applyAlignment="1">
      <alignment horizontal="right" vertical="center"/>
    </xf>
    <xf numFmtId="164" fontId="12" fillId="37" borderId="16" xfId="0" applyNumberFormat="1" applyFont="1" applyFill="1" applyBorder="1" applyAlignment="1">
      <alignment horizontal="right" vertical="center"/>
    </xf>
    <xf numFmtId="166" fontId="6" fillId="37" borderId="0" xfId="0" applyNumberFormat="1" applyFont="1" applyFill="1" applyBorder="1" applyAlignment="1">
      <alignment vertical="center"/>
    </xf>
    <xf numFmtId="166" fontId="6" fillId="37" borderId="16" xfId="0" applyNumberFormat="1" applyFont="1" applyFill="1" applyBorder="1" applyAlignment="1">
      <alignment vertical="center"/>
    </xf>
    <xf numFmtId="0" fontId="2" fillId="33" borderId="25" xfId="0" applyFont="1" applyFill="1" applyBorder="1" applyAlignment="1">
      <alignment vertical="center" wrapText="1"/>
    </xf>
    <xf numFmtId="0" fontId="2" fillId="33" borderId="24" xfId="0" applyFont="1" applyFill="1" applyBorder="1" applyAlignment="1">
      <alignment vertical="center" wrapText="1"/>
    </xf>
    <xf numFmtId="0" fontId="2" fillId="34" borderId="0" xfId="0" applyFont="1" applyFill="1" applyAlignment="1">
      <alignment vertical="center" wrapText="1"/>
    </xf>
    <xf numFmtId="0" fontId="9" fillId="33" borderId="0" xfId="0" applyFont="1" applyFill="1" applyBorder="1" applyAlignment="1">
      <alignment horizontal="left" vertical="center" wrapText="1" indent="1"/>
    </xf>
    <xf numFmtId="3" fontId="18" fillId="35" borderId="34" xfId="0" applyNumberFormat="1" applyFont="1" applyFill="1" applyBorder="1" applyAlignment="1" applyProtection="1">
      <alignment horizontal="right" vertical="center"/>
      <protection locked="0"/>
    </xf>
    <xf numFmtId="3" fontId="18" fillId="35" borderId="30" xfId="0" applyNumberFormat="1" applyFont="1" applyFill="1" applyBorder="1" applyAlignment="1" applyProtection="1">
      <alignment horizontal="right" vertical="center"/>
      <protection locked="0"/>
    </xf>
    <xf numFmtId="3" fontId="18" fillId="35" borderId="35" xfId="0" applyNumberFormat="1" applyFont="1" applyFill="1" applyBorder="1" applyAlignment="1" applyProtection="1">
      <alignment horizontal="right" vertical="center"/>
      <protection locked="0"/>
    </xf>
    <xf numFmtId="0" fontId="3" fillId="33" borderId="0" xfId="0" applyFont="1" applyFill="1" applyBorder="1" applyAlignment="1">
      <alignment horizontal="left" vertical="center" indent="1"/>
    </xf>
    <xf numFmtId="3" fontId="2" fillId="33" borderId="0" xfId="0" applyNumberFormat="1" applyFont="1" applyFill="1" applyBorder="1" applyAlignment="1">
      <alignment horizontal="center" vertical="center"/>
    </xf>
    <xf numFmtId="0" fontId="2" fillId="33" borderId="0" xfId="0" applyFont="1" applyFill="1" applyBorder="1" applyAlignment="1">
      <alignment horizontal="left" vertical="center" indent="2"/>
    </xf>
    <xf numFmtId="2" fontId="2" fillId="33" borderId="12" xfId="0" applyNumberFormat="1" applyFont="1" applyFill="1" applyBorder="1" applyAlignment="1">
      <alignment horizontal="right" vertical="center"/>
    </xf>
    <xf numFmtId="2" fontId="2" fillId="33" borderId="12" xfId="0" applyNumberFormat="1" applyFont="1" applyFill="1" applyBorder="1" applyAlignment="1">
      <alignment vertical="center"/>
    </xf>
    <xf numFmtId="166" fontId="19" fillId="33" borderId="0" xfId="0" applyNumberFormat="1" applyFont="1" applyFill="1" applyBorder="1" applyAlignment="1">
      <alignment horizontal="right" vertical="center"/>
    </xf>
    <xf numFmtId="172" fontId="19" fillId="33" borderId="0" xfId="0" applyNumberFormat="1" applyFont="1" applyFill="1" applyBorder="1" applyAlignment="1">
      <alignment vertical="center"/>
    </xf>
    <xf numFmtId="165" fontId="19" fillId="33" borderId="0" xfId="0" applyNumberFormat="1" applyFont="1" applyFill="1" applyBorder="1" applyAlignment="1">
      <alignment vertical="center"/>
    </xf>
    <xf numFmtId="9" fontId="19" fillId="33" borderId="0" xfId="0" applyNumberFormat="1" applyFont="1" applyFill="1" applyBorder="1" applyAlignment="1">
      <alignment horizontal="right" vertical="center"/>
    </xf>
    <xf numFmtId="165" fontId="19" fillId="33" borderId="0" xfId="0" applyNumberFormat="1" applyFont="1" applyFill="1" applyBorder="1" applyAlignment="1">
      <alignment horizontal="right" vertical="center"/>
    </xf>
    <xf numFmtId="166" fontId="19" fillId="33" borderId="0" xfId="0" applyNumberFormat="1" applyFont="1" applyFill="1" applyBorder="1" applyAlignment="1" quotePrefix="1">
      <alignment horizontal="right" vertical="center"/>
    </xf>
    <xf numFmtId="165" fontId="19" fillId="33" borderId="0" xfId="0" applyNumberFormat="1" applyFont="1" applyFill="1" applyBorder="1" applyAlignment="1" quotePrefix="1">
      <alignment horizontal="right" vertical="center"/>
    </xf>
    <xf numFmtId="166" fontId="19" fillId="33" borderId="12" xfId="0" applyNumberFormat="1" applyFont="1" applyFill="1" applyBorder="1" applyAlignment="1">
      <alignment horizontal="right" vertical="center"/>
    </xf>
    <xf numFmtId="9" fontId="19" fillId="33" borderId="12" xfId="0" applyNumberFormat="1" applyFont="1" applyFill="1" applyBorder="1" applyAlignment="1">
      <alignment horizontal="right" vertical="center"/>
    </xf>
    <xf numFmtId="165" fontId="19" fillId="33" borderId="12" xfId="0" applyNumberFormat="1" applyFont="1" applyFill="1" applyBorder="1" applyAlignment="1">
      <alignment horizontal="right" vertical="center"/>
    </xf>
    <xf numFmtId="0" fontId="20" fillId="33" borderId="0" xfId="0" applyFont="1" applyFill="1" applyBorder="1" applyAlignment="1">
      <alignment vertical="center"/>
    </xf>
    <xf numFmtId="2" fontId="9" fillId="33" borderId="25" xfId="0" applyNumberFormat="1" applyFont="1" applyFill="1" applyBorder="1" applyAlignment="1">
      <alignment vertical="center"/>
    </xf>
    <xf numFmtId="166" fontId="9" fillId="33" borderId="0" xfId="0" applyNumberFormat="1" applyFont="1" applyFill="1" applyBorder="1" applyAlignment="1">
      <alignment horizontal="right" vertical="center"/>
    </xf>
    <xf numFmtId="2" fontId="9" fillId="33" borderId="0" xfId="0" applyNumberFormat="1" applyFont="1" applyFill="1" applyBorder="1" applyAlignment="1">
      <alignment horizontal="right" vertical="center"/>
    </xf>
    <xf numFmtId="2" fontId="9" fillId="33" borderId="0" xfId="0" applyNumberFormat="1" applyFont="1" applyFill="1" applyBorder="1" applyAlignment="1">
      <alignment vertical="center"/>
    </xf>
    <xf numFmtId="0" fontId="9" fillId="33" borderId="24" xfId="0" applyFont="1" applyFill="1" applyBorder="1" applyAlignment="1">
      <alignment vertical="center"/>
    </xf>
    <xf numFmtId="0" fontId="9" fillId="34" borderId="0" xfId="0" applyFont="1" applyFill="1" applyBorder="1" applyAlignment="1">
      <alignment vertical="center"/>
    </xf>
    <xf numFmtId="172" fontId="12" fillId="33" borderId="0" xfId="0" applyNumberFormat="1" applyFont="1" applyFill="1" applyBorder="1" applyAlignment="1">
      <alignment vertical="center"/>
    </xf>
    <xf numFmtId="166" fontId="9" fillId="33" borderId="36" xfId="0" applyNumberFormat="1" applyFont="1" applyFill="1" applyBorder="1" applyAlignment="1">
      <alignment horizontal="right" vertical="center"/>
    </xf>
    <xf numFmtId="9" fontId="9" fillId="33" borderId="36" xfId="0" applyNumberFormat="1" applyFont="1" applyFill="1" applyBorder="1" applyAlignment="1">
      <alignment horizontal="right" vertical="center"/>
    </xf>
    <xf numFmtId="165" fontId="9" fillId="33" borderId="36" xfId="0" applyNumberFormat="1" applyFont="1" applyFill="1" applyBorder="1" applyAlignment="1">
      <alignment horizontal="right" vertical="center"/>
    </xf>
    <xf numFmtId="2" fontId="9" fillId="33" borderId="36" xfId="0" applyNumberFormat="1" applyFont="1" applyFill="1" applyBorder="1" applyAlignment="1">
      <alignment horizontal="right" vertical="center"/>
    </xf>
    <xf numFmtId="2" fontId="9" fillId="33" borderId="36" xfId="0" applyNumberFormat="1" applyFont="1" applyFill="1" applyBorder="1" applyAlignment="1">
      <alignment vertical="center"/>
    </xf>
    <xf numFmtId="3" fontId="6" fillId="33" borderId="16" xfId="0" applyNumberFormat="1" applyFont="1" applyFill="1" applyBorder="1" applyAlignment="1">
      <alignment horizontal="right" vertical="center"/>
    </xf>
    <xf numFmtId="4" fontId="2" fillId="33" borderId="16" xfId="0" applyNumberFormat="1" applyFont="1" applyFill="1" applyBorder="1" applyAlignment="1">
      <alignment vertical="center"/>
    </xf>
    <xf numFmtId="166" fontId="3" fillId="33" borderId="16" xfId="0" applyNumberFormat="1" applyFont="1" applyFill="1" applyBorder="1" applyAlignment="1">
      <alignment horizontal="right" vertical="center"/>
    </xf>
    <xf numFmtId="166" fontId="2" fillId="33" borderId="16" xfId="0" applyNumberFormat="1" applyFont="1" applyFill="1" applyBorder="1" applyAlignment="1">
      <alignment horizontal="right" vertical="center"/>
    </xf>
    <xf numFmtId="166" fontId="3" fillId="33" borderId="16" xfId="0" applyNumberFormat="1" applyFont="1" applyFill="1" applyBorder="1" applyAlignment="1">
      <alignment vertical="center"/>
    </xf>
    <xf numFmtId="166" fontId="2" fillId="33" borderId="0" xfId="0" applyNumberFormat="1" applyFont="1" applyFill="1" applyBorder="1" applyAlignment="1">
      <alignment horizontal="right" vertical="center" indent="1"/>
    </xf>
    <xf numFmtId="4" fontId="3" fillId="33" borderId="0" xfId="0" applyNumberFormat="1" applyFont="1" applyFill="1" applyBorder="1" applyAlignment="1">
      <alignment vertical="center"/>
    </xf>
    <xf numFmtId="0" fontId="2" fillId="33" borderId="36" xfId="0" applyFont="1" applyFill="1" applyBorder="1" applyAlignment="1">
      <alignment vertical="center"/>
    </xf>
    <xf numFmtId="3" fontId="6" fillId="33" borderId="36" xfId="0" applyNumberFormat="1" applyFont="1" applyFill="1" applyBorder="1" applyAlignment="1">
      <alignment horizontal="right" vertical="center"/>
    </xf>
    <xf numFmtId="4" fontId="3" fillId="33" borderId="36" xfId="0" applyNumberFormat="1" applyFont="1" applyFill="1" applyBorder="1" applyAlignment="1">
      <alignment vertical="center"/>
    </xf>
    <xf numFmtId="166" fontId="3" fillId="33" borderId="36" xfId="0" applyNumberFormat="1" applyFont="1" applyFill="1" applyBorder="1" applyAlignment="1">
      <alignment horizontal="right" vertical="center"/>
    </xf>
    <xf numFmtId="166" fontId="2" fillId="33" borderId="36" xfId="0" applyNumberFormat="1" applyFont="1" applyFill="1" applyBorder="1" applyAlignment="1">
      <alignment horizontal="right" vertical="center"/>
    </xf>
    <xf numFmtId="166" fontId="6" fillId="33" borderId="36" xfId="0" applyNumberFormat="1" applyFont="1" applyFill="1" applyBorder="1" applyAlignment="1">
      <alignment vertical="center"/>
    </xf>
    <xf numFmtId="166" fontId="3" fillId="33" borderId="36" xfId="0" applyNumberFormat="1" applyFont="1" applyFill="1" applyBorder="1" applyAlignment="1">
      <alignment vertical="center"/>
    </xf>
    <xf numFmtId="3" fontId="3" fillId="38" borderId="0" xfId="0" applyNumberFormat="1" applyFont="1" applyFill="1" applyBorder="1" applyAlignment="1">
      <alignment vertical="center"/>
    </xf>
    <xf numFmtId="166" fontId="21" fillId="33" borderId="0" xfId="0" applyNumberFormat="1" applyFont="1" applyFill="1" applyBorder="1" applyAlignment="1">
      <alignment horizontal="right" vertical="center"/>
    </xf>
    <xf numFmtId="0" fontId="2" fillId="33" borderId="37" xfId="0" applyFont="1" applyFill="1" applyBorder="1" applyAlignment="1">
      <alignment horizontal="left" vertical="center" indent="2"/>
    </xf>
    <xf numFmtId="0" fontId="2" fillId="33" borderId="37" xfId="0" applyFont="1" applyFill="1" applyBorder="1" applyAlignment="1">
      <alignment vertical="center"/>
    </xf>
    <xf numFmtId="0" fontId="2" fillId="33" borderId="37" xfId="0" applyFont="1" applyFill="1" applyBorder="1" applyAlignment="1">
      <alignment horizontal="right" vertical="center"/>
    </xf>
    <xf numFmtId="0" fontId="2" fillId="33" borderId="38" xfId="0" applyFont="1" applyFill="1" applyBorder="1" applyAlignment="1">
      <alignment horizontal="right" vertical="center"/>
    </xf>
    <xf numFmtId="0" fontId="10" fillId="33" borderId="0" xfId="0" applyFont="1" applyFill="1" applyBorder="1" applyAlignment="1">
      <alignment vertical="center"/>
    </xf>
    <xf numFmtId="3" fontId="18" fillId="33" borderId="0" xfId="0" applyNumberFormat="1" applyFont="1" applyFill="1" applyBorder="1" applyAlignment="1" applyProtection="1">
      <alignment horizontal="right" vertical="center"/>
      <protection locked="0"/>
    </xf>
    <xf numFmtId="9" fontId="11" fillId="33" borderId="0" xfId="0" applyNumberFormat="1" applyFont="1" applyFill="1" applyBorder="1" applyAlignment="1" applyProtection="1">
      <alignment horizontal="right" vertical="center"/>
      <protection locked="0"/>
    </xf>
    <xf numFmtId="3" fontId="11" fillId="33" borderId="0" xfId="0" applyNumberFormat="1" applyFont="1" applyFill="1" applyBorder="1" applyAlignment="1" applyProtection="1">
      <alignment horizontal="right" vertical="center"/>
      <protection locked="0"/>
    </xf>
    <xf numFmtId="164" fontId="11" fillId="33" borderId="0" xfId="0" applyNumberFormat="1" applyFont="1" applyFill="1" applyBorder="1" applyAlignment="1">
      <alignment vertical="center"/>
    </xf>
    <xf numFmtId="3" fontId="2" fillId="33" borderId="0" xfId="0" applyNumberFormat="1" applyFont="1" applyFill="1" applyAlignment="1">
      <alignment vertical="center"/>
    </xf>
    <xf numFmtId="3" fontId="11" fillId="35" borderId="31" xfId="0" applyNumberFormat="1" applyFont="1" applyFill="1" applyBorder="1" applyAlignment="1">
      <alignment vertical="center"/>
    </xf>
    <xf numFmtId="3" fontId="11" fillId="35" borderId="32" xfId="0" applyNumberFormat="1" applyFont="1" applyFill="1" applyBorder="1" applyAlignment="1">
      <alignment vertical="center"/>
    </xf>
    <xf numFmtId="3" fontId="11" fillId="35" borderId="30" xfId="0" applyNumberFormat="1" applyFont="1" applyFill="1" applyBorder="1" applyAlignment="1">
      <alignment vertical="center"/>
    </xf>
    <xf numFmtId="0" fontId="6" fillId="34" borderId="0" xfId="0" applyFont="1" applyFill="1" applyAlignment="1">
      <alignment horizontal="right" vertical="center"/>
    </xf>
    <xf numFmtId="0" fontId="6" fillId="33" borderId="15" xfId="0" applyFont="1" applyFill="1" applyBorder="1" applyAlignment="1">
      <alignment horizontal="right" vertical="center"/>
    </xf>
    <xf numFmtId="0" fontId="6" fillId="33" borderId="12" xfId="0" applyFont="1" applyFill="1" applyBorder="1" applyAlignment="1">
      <alignment horizontal="right" vertical="center"/>
    </xf>
    <xf numFmtId="9" fontId="6" fillId="33" borderId="0" xfId="0" applyNumberFormat="1" applyFont="1" applyFill="1" applyBorder="1" applyAlignment="1">
      <alignment horizontal="right" vertical="center"/>
    </xf>
    <xf numFmtId="3" fontId="6" fillId="33" borderId="12" xfId="0" applyNumberFormat="1" applyFont="1" applyFill="1" applyBorder="1" applyAlignment="1">
      <alignment horizontal="right" vertical="center"/>
    </xf>
    <xf numFmtId="0" fontId="6" fillId="33" borderId="16" xfId="0" applyFont="1" applyFill="1" applyBorder="1" applyAlignment="1">
      <alignment horizontal="right" vertical="center"/>
    </xf>
    <xf numFmtId="0" fontId="6" fillId="34" borderId="0" xfId="0" applyFont="1" applyFill="1" applyAlignment="1">
      <alignment vertical="center"/>
    </xf>
    <xf numFmtId="166" fontId="15" fillId="34" borderId="39" xfId="0" applyNumberFormat="1" applyFont="1" applyFill="1" applyBorder="1" applyAlignment="1">
      <alignment horizontal="right" vertical="center"/>
    </xf>
    <xf numFmtId="0" fontId="12" fillId="34" borderId="39" xfId="0" applyFont="1" applyFill="1" applyBorder="1" applyAlignment="1">
      <alignment horizontal="right" vertical="center"/>
    </xf>
    <xf numFmtId="0" fontId="15" fillId="34" borderId="39" xfId="0" applyFont="1" applyFill="1" applyBorder="1" applyAlignment="1">
      <alignment vertical="center"/>
    </xf>
    <xf numFmtId="166" fontId="3" fillId="33" borderId="0" xfId="0" applyNumberFormat="1" applyFont="1" applyFill="1" applyBorder="1" applyAlignment="1">
      <alignment horizontal="right" vertical="center"/>
    </xf>
    <xf numFmtId="0" fontId="2" fillId="39" borderId="27" xfId="0" applyFont="1" applyFill="1" applyBorder="1" applyAlignment="1">
      <alignment vertical="center"/>
    </xf>
    <xf numFmtId="0" fontId="2" fillId="39" borderId="16" xfId="0" applyFont="1" applyFill="1" applyBorder="1" applyAlignment="1">
      <alignment vertical="center"/>
    </xf>
    <xf numFmtId="0" fontId="2" fillId="39" borderId="16" xfId="0" applyFont="1" applyFill="1" applyBorder="1" applyAlignment="1">
      <alignment horizontal="right" vertical="center"/>
    </xf>
    <xf numFmtId="1" fontId="2" fillId="39" borderId="16" xfId="0" applyNumberFormat="1" applyFont="1" applyFill="1" applyBorder="1" applyAlignment="1">
      <alignment vertical="center"/>
    </xf>
    <xf numFmtId="0" fontId="2" fillId="39" borderId="26" xfId="0" applyFont="1" applyFill="1" applyBorder="1" applyAlignment="1">
      <alignment vertical="center"/>
    </xf>
    <xf numFmtId="0" fontId="2" fillId="39" borderId="25" xfId="0" applyFont="1" applyFill="1" applyBorder="1" applyAlignment="1">
      <alignment vertical="center"/>
    </xf>
    <xf numFmtId="0" fontId="2" fillId="39" borderId="0" xfId="0" applyFont="1" applyFill="1" applyBorder="1" applyAlignment="1">
      <alignment vertical="center"/>
    </xf>
    <xf numFmtId="0" fontId="2" fillId="39" borderId="0" xfId="0" applyFont="1" applyFill="1" applyBorder="1" applyAlignment="1">
      <alignment horizontal="right" vertical="center"/>
    </xf>
    <xf numFmtId="1" fontId="2" fillId="39" borderId="0" xfId="0" applyNumberFormat="1" applyFont="1" applyFill="1" applyBorder="1" applyAlignment="1">
      <alignment vertical="center"/>
    </xf>
    <xf numFmtId="0" fontId="2" fillId="39" borderId="24" xfId="0" applyFont="1" applyFill="1" applyBorder="1" applyAlignment="1">
      <alignment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18"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5">
    <dxf>
      <font>
        <strike/>
        <color indexed="10"/>
      </font>
    </dxf>
    <dxf>
      <font>
        <strike/>
        <color indexed="10"/>
      </font>
    </dxf>
    <dxf>
      <font>
        <strike/>
        <color indexed="10"/>
      </font>
    </dxf>
    <dxf>
      <font>
        <strike/>
        <color indexed="10"/>
      </font>
    </dxf>
    <dxf>
      <font>
        <strike/>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575"/>
          <c:w val="0.9205"/>
          <c:h val="0.9737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numFmt formatCode="General" sourceLinked="1"/>
            <c:showLegendKey val="0"/>
            <c:showVal val="0"/>
            <c:showBubbleSize val="0"/>
            <c:showCatName val="0"/>
            <c:showSerName val="0"/>
            <c:showLeaderLines val="0"/>
            <c:showPercent val="0"/>
          </c:dLbls>
          <c:val>
            <c:numRef>
              <c:f>Calculation!$K$62</c:f>
              <c:numCache>
                <c:ptCount val="1"/>
                <c:pt idx="0">
                  <c:v>11268.43219870687</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FF6600"/>
              </a:solidFill>
              <a:ln w="3175">
                <a:noFill/>
              </a:ln>
            </c:spPr>
          </c:dPt>
          <c:dPt>
            <c:idx val="2"/>
            <c:spPr>
              <a:solidFill>
                <a:srgbClr val="FF9900"/>
              </a:solidFill>
              <a:ln w="3175">
                <a:noFill/>
              </a:ln>
            </c:spPr>
          </c:dPt>
          <c:dPt>
            <c:idx val="3"/>
            <c:spPr>
              <a:solidFill>
                <a:srgbClr val="FFFF00"/>
              </a:solidFill>
              <a:ln w="3175">
                <a:noFill/>
              </a:ln>
            </c:spPr>
          </c:dPt>
          <c:dPt>
            <c:idx val="4"/>
            <c:spPr>
              <a:solidFill>
                <a:srgbClr val="808000"/>
              </a:solidFill>
              <a:ln w="3175">
                <a:noFill/>
              </a:ln>
            </c:spPr>
          </c:dPt>
          <c:dPt>
            <c:idx val="5"/>
            <c:spPr>
              <a:solidFill>
                <a:srgbClr val="99CC00"/>
              </a:solidFill>
              <a:ln w="3175">
                <a:noFill/>
              </a:ln>
            </c:spPr>
          </c:dPt>
          <c:dPt>
            <c:idx val="6"/>
            <c:spPr>
              <a:solidFill>
                <a:srgbClr val="008000"/>
              </a:solidFill>
              <a:ln w="3175">
                <a:noFill/>
              </a:ln>
            </c:spPr>
          </c:dPt>
          <c:dPt>
            <c:idx val="7"/>
            <c:spPr>
              <a:solidFill>
                <a:srgbClr val="3366FF"/>
              </a:solidFill>
              <a:ln w="3175">
                <a:noFill/>
              </a:ln>
            </c:spPr>
          </c:dPt>
          <c:dPt>
            <c:idx val="8"/>
            <c:spPr>
              <a:solidFill>
                <a:srgbClr val="0000FF"/>
              </a:solidFill>
              <a:ln w="3175">
                <a:noFill/>
              </a:ln>
            </c:spPr>
          </c:dPt>
          <c:dPt>
            <c:idx val="9"/>
            <c:spPr>
              <a:solidFill>
                <a:srgbClr val="000080"/>
              </a:solidFill>
              <a:ln w="3175">
                <a:noFill/>
              </a:ln>
            </c:spPr>
          </c:dPt>
          <c:dPt>
            <c:idx val="10"/>
            <c:spPr>
              <a:solidFill>
                <a:srgbClr val="333399"/>
              </a:solidFill>
              <a:ln w="3175">
                <a:noFill/>
              </a:ln>
            </c:spPr>
          </c:dPt>
          <c:dPt>
            <c:idx val="11"/>
            <c:spPr>
              <a:solidFill>
                <a:srgbClr val="660066"/>
              </a:solidFill>
              <a:ln w="3175">
                <a:noFill/>
              </a:ln>
            </c:spPr>
          </c:dPt>
          <c:dPt>
            <c:idx val="12"/>
            <c:spPr>
              <a:solidFill>
                <a:srgbClr val="993366"/>
              </a:solidFill>
              <a:ln w="3175">
                <a:noFill/>
              </a:ln>
            </c:spPr>
          </c:dPt>
          <c:dPt>
            <c:idx val="13"/>
            <c:spPr>
              <a:solidFill>
                <a:srgbClr val="800000"/>
              </a:solidFill>
              <a:ln w="3175">
                <a:noFill/>
              </a:ln>
            </c:spPr>
          </c:dPt>
          <c:dLbls>
            <c:numFmt formatCode="General" sourceLinked="1"/>
            <c:showLegendKey val="0"/>
            <c:showVal val="0"/>
            <c:showBubbleSize val="0"/>
            <c:showCatName val="0"/>
            <c:showSerName val="0"/>
            <c:showLeaderLines val="0"/>
            <c:showPercent val="0"/>
          </c:dLbls>
          <c:cat>
            <c:strRef>
              <c:f>Calculation!$C$48:$C$61</c:f>
              <c:strCache>
                <c:ptCount val="14"/>
                <c:pt idx="0">
                  <c:v>Mining</c:v>
                </c:pt>
                <c:pt idx="1">
                  <c:v>Food</c:v>
                </c:pt>
                <c:pt idx="2">
                  <c:v>Paper</c:v>
                </c:pt>
                <c:pt idx="3">
                  <c:v>Basic chemistry</c:v>
                </c:pt>
                <c:pt idx="4">
                  <c:v>Other chem.</c:v>
                </c:pt>
                <c:pt idx="5">
                  <c:v>Rubber</c:v>
                </c:pt>
                <c:pt idx="6">
                  <c:v>Glass</c:v>
                </c:pt>
                <c:pt idx="7">
                  <c:v>Stones</c:v>
                </c:pt>
                <c:pt idx="8">
                  <c:v>Iron &amp; steel</c:v>
                </c:pt>
                <c:pt idx="9">
                  <c:v>Non-ferrous metal</c:v>
                </c:pt>
                <c:pt idx="10">
                  <c:v>Metal processing</c:v>
                </c:pt>
                <c:pt idx="11">
                  <c:v>Machine</c:v>
                </c:pt>
                <c:pt idx="12">
                  <c:v>Vehicle</c:v>
                </c:pt>
                <c:pt idx="13">
                  <c:v>Other</c:v>
                </c:pt>
              </c:strCache>
            </c:strRef>
          </c:cat>
          <c:val>
            <c:numRef>
              <c:f>Calculation!$K$48:$K$61</c:f>
              <c:numCache>
                <c:ptCount val="14"/>
                <c:pt idx="0">
                  <c:v>129.96800519447615</c:v>
                </c:pt>
                <c:pt idx="1">
                  <c:v>443.5851174704117</c:v>
                </c:pt>
                <c:pt idx="2">
                  <c:v>611.7344084138487</c:v>
                </c:pt>
                <c:pt idx="3">
                  <c:v>1433.9672307692308</c:v>
                </c:pt>
                <c:pt idx="4">
                  <c:v>91.29993469785573</c:v>
                </c:pt>
                <c:pt idx="5">
                  <c:v>32.83405782497104</c:v>
                </c:pt>
                <c:pt idx="6">
                  <c:v>508.7214766248574</c:v>
                </c:pt>
                <c:pt idx="7">
                  <c:v>1144.4920921071716</c:v>
                </c:pt>
                <c:pt idx="8">
                  <c:v>3062.965304983845</c:v>
                </c:pt>
                <c:pt idx="9">
                  <c:v>773.2215960344612</c:v>
                </c:pt>
                <c:pt idx="10">
                  <c:v>646.4642258171797</c:v>
                </c:pt>
                <c:pt idx="11">
                  <c:v>166.17443093168393</c:v>
                </c:pt>
                <c:pt idx="12">
                  <c:v>1060.1727629781421</c:v>
                </c:pt>
                <c:pt idx="13">
                  <c:v>1162.8315548587354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Primary energy consumption
Transport</a:t>
            </a:r>
          </a:p>
        </c:rich>
      </c:tx>
      <c:layout>
        <c:manualLayout>
          <c:xMode val="factor"/>
          <c:yMode val="factor"/>
          <c:x val="-0.314"/>
          <c:y val="-0.01825"/>
        </c:manualLayout>
      </c:layout>
      <c:spPr>
        <a:noFill/>
        <a:ln>
          <a:noFill/>
        </a:ln>
      </c:spPr>
    </c:title>
    <c:plotArea>
      <c:layout>
        <c:manualLayout>
          <c:xMode val="edge"/>
          <c:yMode val="edge"/>
          <c:x val="0.33725"/>
          <c:y val="0.17575"/>
          <c:w val="0.419"/>
          <c:h val="0.7177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GWh&quot;" sourceLinked="0"/>
              <c:showLegendKey val="0"/>
              <c:showVal val="1"/>
              <c:showBubbleSize val="0"/>
              <c:showCatName val="0"/>
              <c:showSerName val="0"/>
              <c:showPercent val="0"/>
            </c:dLbl>
            <c:numFmt formatCode="0.0&quot; GWh&quot;"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0"/>
            <c:showPercent val="0"/>
          </c:dLbls>
          <c:val>
            <c:numRef>
              <c:f>Calculation!$K$78</c:f>
              <c:numCache>
                <c:ptCount val="1"/>
                <c:pt idx="0">
                  <c:v>13989.653344195036</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993300"/>
              </a:solidFill>
              <a:ln w="3175">
                <a:noFill/>
              </a:ln>
            </c:spPr>
          </c:dPt>
          <c:dPt>
            <c:idx val="2"/>
            <c:spPr>
              <a:solidFill>
                <a:srgbClr val="FF6600"/>
              </a:solidFill>
              <a:ln w="3175">
                <a:noFill/>
              </a:ln>
            </c:spPr>
          </c:dPt>
          <c:dPt>
            <c:idx val="3"/>
            <c:spPr>
              <a:solidFill>
                <a:srgbClr val="FF9900"/>
              </a:solidFill>
              <a:ln w="3175">
                <a:noFill/>
              </a:ln>
            </c:spPr>
          </c:dPt>
          <c:dPt>
            <c:idx val="4"/>
            <c:spPr>
              <a:solidFill>
                <a:srgbClr val="99CC00"/>
              </a:solidFill>
              <a:ln w="3175">
                <a:noFill/>
              </a:ln>
            </c:spPr>
          </c:dPt>
          <c:dPt>
            <c:idx val="5"/>
            <c:spPr>
              <a:solidFill>
                <a:srgbClr val="339966"/>
              </a:solidFill>
              <a:ln w="3175">
                <a:noFill/>
              </a:ln>
            </c:spPr>
          </c:dPt>
          <c:dPt>
            <c:idx val="6"/>
            <c:spPr>
              <a:solidFill>
                <a:srgbClr val="008000"/>
              </a:solidFill>
              <a:ln w="3175">
                <a:noFill/>
              </a:ln>
            </c:spPr>
          </c:dPt>
          <c:dPt>
            <c:idx val="7"/>
            <c:spPr>
              <a:solidFill>
                <a:srgbClr val="003300"/>
              </a:solidFill>
              <a:ln w="3175">
                <a:noFill/>
              </a:ln>
            </c:spPr>
          </c:dPt>
          <c:dPt>
            <c:idx val="8"/>
            <c:spPr>
              <a:solidFill>
                <a:srgbClr val="0000FF"/>
              </a:solidFill>
              <a:ln w="3175">
                <a:noFill/>
              </a:ln>
            </c:spPr>
          </c:dPt>
          <c:dPt>
            <c:idx val="9"/>
            <c:spPr>
              <a:solidFill>
                <a:srgbClr val="3366FF"/>
              </a:solidFill>
              <a:ln w="3175">
                <a:noFill/>
              </a:ln>
            </c:spPr>
          </c:dPt>
          <c:dLbls>
            <c:dLbl>
              <c:idx val="0"/>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(Calculation!$C$67:$C$70,Calculation!$C$72:$C$77)</c:f>
              <c:strCache>
                <c:ptCount val="10"/>
                <c:pt idx="0">
                  <c:v>Ship</c:v>
                </c:pt>
                <c:pt idx="1">
                  <c:v>Rails</c:v>
                </c:pt>
                <c:pt idx="2">
                  <c:v>Airline</c:v>
                </c:pt>
                <c:pt idx="3">
                  <c:v>Trucks</c:v>
                </c:pt>
                <c:pt idx="4">
                  <c:v>Walk</c:v>
                </c:pt>
                <c:pt idx="5">
                  <c:v>Bicycle</c:v>
                </c:pt>
                <c:pt idx="6">
                  <c:v>Bus</c:v>
                </c:pt>
                <c:pt idx="7">
                  <c:v>Train</c:v>
                </c:pt>
                <c:pt idx="8">
                  <c:v>Airline</c:v>
                </c:pt>
                <c:pt idx="9">
                  <c:v>Car</c:v>
                </c:pt>
              </c:strCache>
            </c:strRef>
          </c:cat>
          <c:val>
            <c:numRef>
              <c:f>(Calculation!$K$67:$K$70,Calculation!$K$72:$K$77)</c:f>
              <c:numCache>
                <c:ptCount val="10"/>
                <c:pt idx="0">
                  <c:v>64.44087349676916</c:v>
                </c:pt>
                <c:pt idx="1">
                  <c:v>200.22699979353274</c:v>
                </c:pt>
                <c:pt idx="2">
                  <c:v>387.1055329341633</c:v>
                </c:pt>
                <c:pt idx="3">
                  <c:v>3241.375936887489</c:v>
                </c:pt>
                <c:pt idx="4">
                  <c:v>0</c:v>
                </c:pt>
                <c:pt idx="5">
                  <c:v>0</c:v>
                </c:pt>
                <c:pt idx="6">
                  <c:v>205.2902112825646</c:v>
                </c:pt>
                <c:pt idx="7">
                  <c:v>514.6064040670566</c:v>
                </c:pt>
                <c:pt idx="8">
                  <c:v>1491.806221450206</c:v>
                </c:pt>
                <c:pt idx="9">
                  <c:v>7884.801164283254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Final energy consumption
Households</a:t>
            </a:r>
          </a:p>
        </c:rich>
      </c:tx>
      <c:layout>
        <c:manualLayout>
          <c:xMode val="factor"/>
          <c:yMode val="factor"/>
          <c:x val="-0.327"/>
          <c:y val="-0.02025"/>
        </c:manualLayout>
      </c:layout>
      <c:spPr>
        <a:noFill/>
        <a:ln>
          <a:noFill/>
        </a:ln>
      </c:spPr>
    </c:title>
    <c:plotArea>
      <c:layout>
        <c:manualLayout>
          <c:xMode val="edge"/>
          <c:yMode val="edge"/>
          <c:x val="0.35225"/>
          <c:y val="0.2155"/>
          <c:w val="0.35275"/>
          <c:h val="0.6702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GWh&quot;" sourceLinked="0"/>
              <c:showLegendKey val="0"/>
              <c:showVal val="1"/>
              <c:showBubbleSize val="0"/>
              <c:showCatName val="0"/>
              <c:showSerName val="0"/>
              <c:showPercent val="0"/>
            </c:dLbl>
            <c:numFmt formatCode="0.0&quot; GWh&quot;" sourceLinked="0"/>
            <c:txPr>
              <a:bodyPr vert="horz" rot="0" anchor="ctr"/>
              <a:lstStyle/>
              <a:p>
                <a:pPr algn="ctr">
                  <a:defRPr lang="en-US" cap="none" sz="800" b="1" i="0" u="none" baseline="0">
                    <a:solidFill>
                      <a:srgbClr val="000000"/>
                    </a:solidFill>
                    <a:latin typeface="Arial"/>
                    <a:ea typeface="Arial"/>
                    <a:cs typeface="Arial"/>
                  </a:defRPr>
                </a:pPr>
              </a:p>
            </c:txPr>
            <c:dLblPos val="bestFit"/>
            <c:showLegendKey val="0"/>
            <c:showVal val="0"/>
            <c:showBubbleSize val="0"/>
            <c:showCatName val="1"/>
            <c:showSerName val="0"/>
            <c:showLeaderLines val="1"/>
            <c:showPercent val="1"/>
          </c:dLbls>
          <c:val>
            <c:numRef>
              <c:f>Calculation!$K$17</c:f>
              <c:numCache>
                <c:ptCount val="1"/>
                <c:pt idx="0">
                  <c:v>12018.748131399318</c:v>
                </c:pt>
              </c:numCache>
            </c:numRef>
          </c:val>
        </c:ser>
      </c:pieChart>
      <c:pieChart>
        <c:varyColors val="1"/>
        <c:ser>
          <c:idx val="0"/>
          <c:order val="0"/>
          <c:tx>
            <c:strRef>
              <c:f>Calculation!$K$6</c:f>
              <c:strCache>
                <c:ptCount val="1"/>
                <c:pt idx="0">
                  <c:v>FE (GWh/a)</c:v>
                </c:pt>
              </c:strCache>
            </c:strRef>
          </c:tx>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0066"/>
              </a:solidFill>
              <a:ln w="3175">
                <a:noFill/>
              </a:ln>
            </c:spPr>
          </c:dPt>
          <c:dPt>
            <c:idx val="1"/>
            <c:spPr>
              <a:solidFill>
                <a:srgbClr val="FFFF00"/>
              </a:solidFill>
              <a:ln w="3175">
                <a:noFill/>
              </a:ln>
            </c:spPr>
          </c:dPt>
          <c:dPt>
            <c:idx val="2"/>
            <c:spPr>
              <a:solidFill>
                <a:srgbClr val="FFCC00"/>
              </a:solidFill>
              <a:ln w="3175">
                <a:noFill/>
              </a:ln>
            </c:spPr>
          </c:dPt>
          <c:dPt>
            <c:idx val="3"/>
            <c:spPr>
              <a:solidFill>
                <a:srgbClr val="800000"/>
              </a:solidFill>
              <a:ln w="3175">
                <a:noFill/>
              </a:ln>
            </c:spPr>
          </c:dPt>
          <c:dPt>
            <c:idx val="4"/>
            <c:spPr>
              <a:solidFill>
                <a:srgbClr val="969696"/>
              </a:solidFill>
              <a:ln w="3175">
                <a:noFill/>
              </a:ln>
            </c:spPr>
          </c:dPt>
          <c:dPt>
            <c:idx val="5"/>
            <c:spPr>
              <a:solidFill>
                <a:srgbClr val="008000"/>
              </a:solidFill>
              <a:ln w="3175">
                <a:noFill/>
              </a:ln>
            </c:spPr>
          </c:dPt>
          <c:dPt>
            <c:idx val="6"/>
            <c:spPr>
              <a:solidFill>
                <a:srgbClr val="99CCFF"/>
              </a:solidFill>
              <a:ln w="3175">
                <a:noFill/>
              </a:ln>
            </c:spPr>
          </c:dPt>
          <c:dPt>
            <c:idx val="7"/>
            <c:explosion val="18"/>
            <c:spPr>
              <a:solidFill>
                <a:srgbClr val="3366FF"/>
              </a:solidFill>
              <a:ln w="3175">
                <a:noFill/>
              </a:ln>
            </c:spPr>
          </c:dPt>
          <c:dLbls>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(Calculation!$H$7:$H$13,Calculation!$H$16)</c:f>
              <c:strCache>
                <c:ptCount val="8"/>
                <c:pt idx="0">
                  <c:v>DH</c:v>
                </c:pt>
                <c:pt idx="1">
                  <c:v>Natural gas</c:v>
                </c:pt>
                <c:pt idx="2">
                  <c:v>LNG</c:v>
                </c:pt>
                <c:pt idx="3">
                  <c:v>Oil</c:v>
                </c:pt>
                <c:pt idx="4">
                  <c:v>Coal</c:v>
                </c:pt>
                <c:pt idx="5">
                  <c:v>Wood</c:v>
                </c:pt>
                <c:pt idx="6">
                  <c:v>Electric heating</c:v>
                </c:pt>
                <c:pt idx="7">
                  <c:v>Electricity</c:v>
                </c:pt>
              </c:strCache>
            </c:strRef>
          </c:cat>
          <c:val>
            <c:numRef>
              <c:f>(Calculation!$K$7:$K$13,Calculation!$K$16)</c:f>
              <c:numCache>
                <c:ptCount val="8"/>
                <c:pt idx="0">
                  <c:v>302.7225255972696</c:v>
                </c:pt>
                <c:pt idx="1">
                  <c:v>4353.058873720138</c:v>
                </c:pt>
                <c:pt idx="2">
                  <c:v>480.77116894197957</c:v>
                </c:pt>
                <c:pt idx="3">
                  <c:v>3399.040341296928</c:v>
                </c:pt>
                <c:pt idx="4">
                  <c:v>88.76825938566553</c:v>
                </c:pt>
                <c:pt idx="5">
                  <c:v>334.5880546075086</c:v>
                </c:pt>
                <c:pt idx="6">
                  <c:v>740.4689078498294</c:v>
                </c:pt>
                <c:pt idx="7">
                  <c:v>2319.33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Final energy consumption
Tertiary sector</a:t>
            </a:r>
          </a:p>
        </c:rich>
      </c:tx>
      <c:layout>
        <c:manualLayout>
          <c:xMode val="factor"/>
          <c:yMode val="factor"/>
          <c:x val="-0.32975"/>
          <c:y val="-0.0185"/>
        </c:manualLayout>
      </c:layout>
      <c:spPr>
        <a:noFill/>
        <a:ln>
          <a:noFill/>
        </a:ln>
      </c:spPr>
    </c:title>
    <c:plotArea>
      <c:layout>
        <c:manualLayout>
          <c:xMode val="edge"/>
          <c:yMode val="edge"/>
          <c:x val="0.334"/>
          <c:y val="0.16975"/>
          <c:w val="0.426"/>
          <c:h val="0.7342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GWh&quot;" sourceLinked="0"/>
              <c:showLegendKey val="0"/>
              <c:showVal val="1"/>
              <c:showBubbleSize val="0"/>
              <c:showCatName val="0"/>
              <c:showSerName val="0"/>
              <c:showPercent val="0"/>
            </c:dLbl>
            <c:numFmt formatCode="0.0&quot; GWh&quot;"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0"/>
            <c:showPercent val="0"/>
          </c:dLbls>
          <c:val>
            <c:numRef>
              <c:f>Calculation!$K$44</c:f>
              <c:numCache>
                <c:ptCount val="1"/>
                <c:pt idx="0">
                  <c:v>10104.892733153309</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FF6600"/>
              </a:solidFill>
              <a:ln w="3175">
                <a:noFill/>
              </a:ln>
            </c:spPr>
          </c:dPt>
          <c:dPt>
            <c:idx val="2"/>
            <c:spPr>
              <a:solidFill>
                <a:srgbClr val="FF9900"/>
              </a:solidFill>
              <a:ln w="3175">
                <a:noFill/>
              </a:ln>
            </c:spPr>
          </c:dPt>
          <c:dPt>
            <c:idx val="3"/>
            <c:spPr>
              <a:solidFill>
                <a:srgbClr val="FFFF00"/>
              </a:solidFill>
              <a:ln w="3175">
                <a:noFill/>
              </a:ln>
            </c:spPr>
          </c:dPt>
          <c:dPt>
            <c:idx val="4"/>
            <c:spPr>
              <a:solidFill>
                <a:srgbClr val="808000"/>
              </a:solidFill>
              <a:ln w="3175">
                <a:noFill/>
              </a:ln>
            </c:spPr>
          </c:dPt>
          <c:dPt>
            <c:idx val="5"/>
            <c:spPr>
              <a:solidFill>
                <a:srgbClr val="99CC00"/>
              </a:solidFill>
              <a:ln w="3175">
                <a:noFill/>
              </a:ln>
            </c:spPr>
          </c:dPt>
          <c:dPt>
            <c:idx val="6"/>
            <c:spPr>
              <a:solidFill>
                <a:srgbClr val="008000"/>
              </a:solidFill>
              <a:ln w="3175">
                <a:noFill/>
              </a:ln>
            </c:spPr>
          </c:dPt>
          <c:dPt>
            <c:idx val="7"/>
            <c:spPr>
              <a:solidFill>
                <a:srgbClr val="3366FF"/>
              </a:solidFill>
              <a:ln w="3175">
                <a:noFill/>
              </a:ln>
            </c:spPr>
          </c:dPt>
          <c:dPt>
            <c:idx val="8"/>
            <c:spPr>
              <a:solidFill>
                <a:srgbClr val="0000FF"/>
              </a:solidFill>
              <a:ln w="3175">
                <a:noFill/>
              </a:ln>
            </c:spPr>
          </c:dPt>
          <c:dPt>
            <c:idx val="9"/>
            <c:spPr>
              <a:solidFill>
                <a:srgbClr val="333399"/>
              </a:solidFill>
              <a:ln w="3175">
                <a:noFill/>
              </a:ln>
            </c:spPr>
          </c:dPt>
          <c:dLbls>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Calculation!$C$21:$C$30</c:f>
              <c:strCache>
                <c:ptCount val="10"/>
                <c:pt idx="0">
                  <c:v>Construction</c:v>
                </c:pt>
                <c:pt idx="1">
                  <c:v>Office</c:v>
                </c:pt>
                <c:pt idx="2">
                  <c:v>Manufacturing</c:v>
                </c:pt>
                <c:pt idx="3">
                  <c:v>Trade</c:v>
                </c:pt>
                <c:pt idx="4">
                  <c:v>Hotels</c:v>
                </c:pt>
                <c:pt idx="5">
                  <c:v>Food industry</c:v>
                </c:pt>
                <c:pt idx="6">
                  <c:v>Agriculture</c:v>
                </c:pt>
                <c:pt idx="7">
                  <c:v>Hospitals</c:v>
                </c:pt>
                <c:pt idx="8">
                  <c:v>Schools</c:v>
                </c:pt>
                <c:pt idx="9">
                  <c:v>Pools</c:v>
                </c:pt>
              </c:strCache>
            </c:strRef>
          </c:cat>
          <c:val>
            <c:numRef>
              <c:f>Calculation!$Q$21:$Q$30</c:f>
              <c:numCache>
                <c:ptCount val="10"/>
                <c:pt idx="0">
                  <c:v>112.8258</c:v>
                </c:pt>
                <c:pt idx="1">
                  <c:v>5117.137</c:v>
                </c:pt>
                <c:pt idx="2">
                  <c:v>1358.14</c:v>
                </c:pt>
                <c:pt idx="3">
                  <c:v>800.2630867399837</c:v>
                </c:pt>
                <c:pt idx="4">
                  <c:v>735.8580445800978</c:v>
                </c:pt>
                <c:pt idx="5">
                  <c:v>37.325516978406036</c:v>
                </c:pt>
                <c:pt idx="6">
                  <c:v>31.189500000000002</c:v>
                </c:pt>
                <c:pt idx="7">
                  <c:v>609.7574866177249</c:v>
                </c:pt>
                <c:pt idx="8">
                  <c:v>805.7707816906002</c:v>
                </c:pt>
                <c:pt idx="9">
                  <c:v>496.6255165464952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Finaly energy consumption
Industry</a:t>
            </a:r>
          </a:p>
        </c:rich>
      </c:tx>
      <c:layout>
        <c:manualLayout>
          <c:xMode val="factor"/>
          <c:yMode val="factor"/>
          <c:x val="-0.3185"/>
          <c:y val="-0.02"/>
        </c:manualLayout>
      </c:layout>
      <c:spPr>
        <a:noFill/>
        <a:ln>
          <a:noFill/>
        </a:ln>
      </c:spPr>
    </c:title>
    <c:plotArea>
      <c:layout>
        <c:manualLayout>
          <c:xMode val="edge"/>
          <c:yMode val="edge"/>
          <c:x val="0.30525"/>
          <c:y val="0.18375"/>
          <c:w val="0.451"/>
          <c:h val="0.705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GWh&quot;" sourceLinked="0"/>
              <c:showLegendKey val="0"/>
              <c:showVal val="1"/>
              <c:showBubbleSize val="0"/>
              <c:showCatName val="0"/>
              <c:showSerName val="0"/>
              <c:showPercent val="0"/>
            </c:dLbl>
            <c:numFmt formatCode="0.0&quot; GWh&quot;"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Calculation!$K$62</c:f>
              <c:numCache>
                <c:ptCount val="1"/>
                <c:pt idx="0">
                  <c:v>11268.43219870687</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FF6600"/>
              </a:solidFill>
              <a:ln w="3175">
                <a:noFill/>
              </a:ln>
            </c:spPr>
          </c:dPt>
          <c:dPt>
            <c:idx val="2"/>
            <c:spPr>
              <a:solidFill>
                <a:srgbClr val="FF9900"/>
              </a:solidFill>
              <a:ln w="3175">
                <a:noFill/>
              </a:ln>
            </c:spPr>
          </c:dPt>
          <c:dPt>
            <c:idx val="3"/>
            <c:spPr>
              <a:solidFill>
                <a:srgbClr val="FFFF00"/>
              </a:solidFill>
              <a:ln w="3175">
                <a:noFill/>
              </a:ln>
            </c:spPr>
          </c:dPt>
          <c:dPt>
            <c:idx val="4"/>
            <c:spPr>
              <a:solidFill>
                <a:srgbClr val="808000"/>
              </a:solidFill>
              <a:ln w="3175">
                <a:noFill/>
              </a:ln>
            </c:spPr>
          </c:dPt>
          <c:dPt>
            <c:idx val="5"/>
            <c:spPr>
              <a:solidFill>
                <a:srgbClr val="99CC00"/>
              </a:solidFill>
              <a:ln w="3175">
                <a:noFill/>
              </a:ln>
            </c:spPr>
          </c:dPt>
          <c:dPt>
            <c:idx val="6"/>
            <c:spPr>
              <a:solidFill>
                <a:srgbClr val="008000"/>
              </a:solidFill>
              <a:ln w="3175">
                <a:noFill/>
              </a:ln>
            </c:spPr>
          </c:dPt>
          <c:dPt>
            <c:idx val="7"/>
            <c:spPr>
              <a:solidFill>
                <a:srgbClr val="3366FF"/>
              </a:solidFill>
              <a:ln w="3175">
                <a:noFill/>
              </a:ln>
            </c:spPr>
          </c:dPt>
          <c:dPt>
            <c:idx val="8"/>
            <c:spPr>
              <a:solidFill>
                <a:srgbClr val="0000FF"/>
              </a:solidFill>
              <a:ln w="3175">
                <a:noFill/>
              </a:ln>
            </c:spPr>
          </c:dPt>
          <c:dPt>
            <c:idx val="9"/>
            <c:spPr>
              <a:solidFill>
                <a:srgbClr val="000080"/>
              </a:solidFill>
              <a:ln w="3175">
                <a:noFill/>
              </a:ln>
            </c:spPr>
          </c:dPt>
          <c:dPt>
            <c:idx val="10"/>
            <c:spPr>
              <a:solidFill>
                <a:srgbClr val="333399"/>
              </a:solidFill>
              <a:ln w="3175">
                <a:noFill/>
              </a:ln>
            </c:spPr>
          </c:dPt>
          <c:dPt>
            <c:idx val="11"/>
            <c:spPr>
              <a:solidFill>
                <a:srgbClr val="800080"/>
              </a:solidFill>
              <a:ln w="3175">
                <a:noFill/>
              </a:ln>
            </c:spPr>
          </c:dPt>
          <c:dPt>
            <c:idx val="12"/>
            <c:spPr>
              <a:solidFill>
                <a:srgbClr val="660066"/>
              </a:solidFill>
              <a:ln w="3175">
                <a:noFill/>
              </a:ln>
            </c:spPr>
          </c:dPt>
          <c:dPt>
            <c:idx val="13"/>
            <c:spPr>
              <a:solidFill>
                <a:srgbClr val="993366"/>
              </a:solidFill>
              <a:ln w="3175">
                <a:noFill/>
              </a:ln>
            </c:spPr>
          </c:dPt>
          <c:dLbls>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Calculation!$C$48:$C$61</c:f>
              <c:strCache>
                <c:ptCount val="14"/>
                <c:pt idx="0">
                  <c:v>Mining</c:v>
                </c:pt>
                <c:pt idx="1">
                  <c:v>Food</c:v>
                </c:pt>
                <c:pt idx="2">
                  <c:v>Paper</c:v>
                </c:pt>
                <c:pt idx="3">
                  <c:v>Basic chemistry</c:v>
                </c:pt>
                <c:pt idx="4">
                  <c:v>Other chem.</c:v>
                </c:pt>
                <c:pt idx="5">
                  <c:v>Rubber</c:v>
                </c:pt>
                <c:pt idx="6">
                  <c:v>Glass</c:v>
                </c:pt>
                <c:pt idx="7">
                  <c:v>Stones</c:v>
                </c:pt>
                <c:pt idx="8">
                  <c:v>Iron &amp; steel</c:v>
                </c:pt>
                <c:pt idx="9">
                  <c:v>Non-ferrous metal</c:v>
                </c:pt>
                <c:pt idx="10">
                  <c:v>Metal processing</c:v>
                </c:pt>
                <c:pt idx="11">
                  <c:v>Machine</c:v>
                </c:pt>
                <c:pt idx="12">
                  <c:v>Vehicle</c:v>
                </c:pt>
                <c:pt idx="13">
                  <c:v>Other</c:v>
                </c:pt>
              </c:strCache>
            </c:strRef>
          </c:cat>
          <c:val>
            <c:numRef>
              <c:f>Calculation!$K$48:$K$61</c:f>
              <c:numCache>
                <c:ptCount val="14"/>
                <c:pt idx="0">
                  <c:v>129.96800519447615</c:v>
                </c:pt>
                <c:pt idx="1">
                  <c:v>443.5851174704117</c:v>
                </c:pt>
                <c:pt idx="2">
                  <c:v>611.7344084138487</c:v>
                </c:pt>
                <c:pt idx="3">
                  <c:v>1433.9672307692308</c:v>
                </c:pt>
                <c:pt idx="4">
                  <c:v>91.29993469785573</c:v>
                </c:pt>
                <c:pt idx="5">
                  <c:v>32.83405782497104</c:v>
                </c:pt>
                <c:pt idx="6">
                  <c:v>508.7214766248574</c:v>
                </c:pt>
                <c:pt idx="7">
                  <c:v>1144.4920921071716</c:v>
                </c:pt>
                <c:pt idx="8">
                  <c:v>3062.965304983845</c:v>
                </c:pt>
                <c:pt idx="9">
                  <c:v>773.2215960344612</c:v>
                </c:pt>
                <c:pt idx="10">
                  <c:v>646.4642258171797</c:v>
                </c:pt>
                <c:pt idx="11">
                  <c:v>166.17443093168393</c:v>
                </c:pt>
                <c:pt idx="12">
                  <c:v>1060.1727629781421</c:v>
                </c:pt>
                <c:pt idx="13">
                  <c:v>1162.8315548587354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Primary energy consumption
Transport</a:t>
            </a:r>
          </a:p>
        </c:rich>
      </c:tx>
      <c:layout>
        <c:manualLayout>
          <c:xMode val="factor"/>
          <c:yMode val="factor"/>
          <c:x val="-0.314"/>
          <c:y val="-0.02275"/>
        </c:manualLayout>
      </c:layout>
      <c:spPr>
        <a:noFill/>
        <a:ln>
          <a:noFill/>
        </a:ln>
      </c:spPr>
    </c:title>
    <c:plotArea>
      <c:layout>
        <c:manualLayout>
          <c:xMode val="edge"/>
          <c:yMode val="edge"/>
          <c:x val="0.3425"/>
          <c:y val="0.2175"/>
          <c:w val="0.41075"/>
          <c:h val="0.6262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GWh&quot;" sourceLinked="0"/>
              <c:showLegendKey val="0"/>
              <c:showVal val="1"/>
              <c:showBubbleSize val="0"/>
              <c:showCatName val="0"/>
              <c:showSerName val="0"/>
              <c:showPercent val="0"/>
            </c:dLbl>
            <c:numFmt formatCode="0.0&quot; GWh&quot;"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0"/>
            <c:showPercent val="0"/>
          </c:dLbls>
          <c:val>
            <c:numRef>
              <c:f>Calculation!$K$78</c:f>
              <c:numCache>
                <c:ptCount val="1"/>
                <c:pt idx="0">
                  <c:v>13989.653344195036</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993300"/>
              </a:solidFill>
              <a:ln w="3175">
                <a:noFill/>
              </a:ln>
            </c:spPr>
          </c:dPt>
          <c:dPt>
            <c:idx val="2"/>
            <c:spPr>
              <a:solidFill>
                <a:srgbClr val="FF6600"/>
              </a:solidFill>
              <a:ln w="3175">
                <a:noFill/>
              </a:ln>
            </c:spPr>
          </c:dPt>
          <c:dPt>
            <c:idx val="3"/>
            <c:spPr>
              <a:solidFill>
                <a:srgbClr val="FF9900"/>
              </a:solidFill>
              <a:ln w="3175">
                <a:noFill/>
              </a:ln>
            </c:spPr>
          </c:dPt>
          <c:dPt>
            <c:idx val="4"/>
            <c:spPr>
              <a:solidFill>
                <a:srgbClr val="99CC00"/>
              </a:solidFill>
              <a:ln w="3175">
                <a:noFill/>
              </a:ln>
            </c:spPr>
          </c:dPt>
          <c:dPt>
            <c:idx val="5"/>
            <c:spPr>
              <a:solidFill>
                <a:srgbClr val="339966"/>
              </a:solidFill>
              <a:ln w="3175">
                <a:noFill/>
              </a:ln>
            </c:spPr>
          </c:dPt>
          <c:dPt>
            <c:idx val="6"/>
            <c:spPr>
              <a:solidFill>
                <a:srgbClr val="008000"/>
              </a:solidFill>
              <a:ln w="3175">
                <a:noFill/>
              </a:ln>
            </c:spPr>
          </c:dPt>
          <c:dPt>
            <c:idx val="7"/>
            <c:spPr>
              <a:solidFill>
                <a:srgbClr val="003300"/>
              </a:solidFill>
              <a:ln w="3175">
                <a:noFill/>
              </a:ln>
            </c:spPr>
          </c:dPt>
          <c:dPt>
            <c:idx val="8"/>
            <c:spPr>
              <a:solidFill>
                <a:srgbClr val="0000FF"/>
              </a:solidFill>
              <a:ln w="3175">
                <a:noFill/>
              </a:ln>
            </c:spPr>
          </c:dPt>
          <c:dPt>
            <c:idx val="9"/>
            <c:spPr>
              <a:solidFill>
                <a:srgbClr val="3366FF"/>
              </a:solidFill>
              <a:ln w="3175">
                <a:noFill/>
              </a:ln>
            </c:spPr>
          </c:dPt>
          <c:dLbls>
            <c:dLbl>
              <c:idx val="0"/>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(Calculation!$C$67:$C$70,Calculation!$C$72:$C$77)</c:f>
              <c:strCache>
                <c:ptCount val="10"/>
                <c:pt idx="0">
                  <c:v>Ship</c:v>
                </c:pt>
                <c:pt idx="1">
                  <c:v>Rails</c:v>
                </c:pt>
                <c:pt idx="2">
                  <c:v>Airline</c:v>
                </c:pt>
                <c:pt idx="3">
                  <c:v>Trucks</c:v>
                </c:pt>
                <c:pt idx="4">
                  <c:v>Walk</c:v>
                </c:pt>
                <c:pt idx="5">
                  <c:v>Bicycle</c:v>
                </c:pt>
                <c:pt idx="6">
                  <c:v>Bus</c:v>
                </c:pt>
                <c:pt idx="7">
                  <c:v>Train</c:v>
                </c:pt>
                <c:pt idx="8">
                  <c:v>Airline</c:v>
                </c:pt>
                <c:pt idx="9">
                  <c:v>Car</c:v>
                </c:pt>
              </c:strCache>
            </c:strRef>
          </c:cat>
          <c:val>
            <c:numRef>
              <c:f>(Calculation!$K$67:$K$70,Calculation!$K$72:$K$77)</c:f>
              <c:numCache>
                <c:ptCount val="10"/>
                <c:pt idx="0">
                  <c:v>64.44087349676916</c:v>
                </c:pt>
                <c:pt idx="1">
                  <c:v>200.22699979353274</c:v>
                </c:pt>
                <c:pt idx="2">
                  <c:v>387.1055329341633</c:v>
                </c:pt>
                <c:pt idx="3">
                  <c:v>3241.375936887489</c:v>
                </c:pt>
                <c:pt idx="4">
                  <c:v>0</c:v>
                </c:pt>
                <c:pt idx="5">
                  <c:v>0</c:v>
                </c:pt>
                <c:pt idx="6">
                  <c:v>205.2902112825646</c:v>
                </c:pt>
                <c:pt idx="7">
                  <c:v>514.6064040670566</c:v>
                </c:pt>
                <c:pt idx="8">
                  <c:v>1491.806221450206</c:v>
                </c:pt>
                <c:pt idx="9">
                  <c:v>7884.801164283254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Emissions
Households</a:t>
            </a:r>
          </a:p>
        </c:rich>
      </c:tx>
      <c:layout>
        <c:manualLayout>
          <c:xMode val="factor"/>
          <c:yMode val="factor"/>
          <c:x val="-0.406"/>
          <c:y val="-0.02025"/>
        </c:manualLayout>
      </c:layout>
      <c:spPr>
        <a:noFill/>
        <a:ln>
          <a:noFill/>
        </a:ln>
      </c:spPr>
    </c:title>
    <c:plotArea>
      <c:layout>
        <c:manualLayout>
          <c:xMode val="edge"/>
          <c:yMode val="edge"/>
          <c:x val="0.3505"/>
          <c:y val="0.2155"/>
          <c:w val="0.35425"/>
          <c:h val="0.674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kt&quot;" sourceLinked="0"/>
              <c:showLegendKey val="0"/>
              <c:showVal val="1"/>
              <c:showBubbleSize val="0"/>
              <c:showCatName val="0"/>
              <c:showSerName val="0"/>
              <c:showPercent val="0"/>
            </c:dLbl>
            <c:numFmt formatCode="0.0&quot; kt&quot;" sourceLinked="0"/>
            <c:txPr>
              <a:bodyPr vert="horz" rot="0" anchor="ctr"/>
              <a:lstStyle/>
              <a:p>
                <a:pPr algn="ctr">
                  <a:defRPr lang="en-US" cap="none" sz="800" b="1" i="0" u="none" baseline="0">
                    <a:solidFill>
                      <a:srgbClr val="000000"/>
                    </a:solidFill>
                    <a:latin typeface="Arial"/>
                    <a:ea typeface="Arial"/>
                    <a:cs typeface="Arial"/>
                  </a:defRPr>
                </a:pPr>
              </a:p>
            </c:txPr>
            <c:dLblPos val="bestFit"/>
            <c:showLegendKey val="0"/>
            <c:showVal val="0"/>
            <c:showBubbleSize val="0"/>
            <c:showCatName val="1"/>
            <c:showSerName val="0"/>
            <c:showLeaderLines val="1"/>
            <c:showPercent val="1"/>
          </c:dLbls>
          <c:val>
            <c:numRef>
              <c:f>Calculation!$O$83</c:f>
              <c:numCache>
                <c:ptCount val="1"/>
                <c:pt idx="0">
                  <c:v>4610.065934271502</c:v>
                </c:pt>
              </c:numCache>
            </c:numRef>
          </c:val>
        </c:ser>
      </c:pieChart>
      <c:pieChart>
        <c:varyColors val="1"/>
        <c:ser>
          <c:idx val="0"/>
          <c:order val="0"/>
          <c:tx>
            <c:strRef>
              <c:f>Calculation!$O$6</c:f>
              <c:strCache>
                <c:ptCount val="1"/>
                <c:pt idx="0">
                  <c:v>CO2 total (t/a)</c:v>
                </c:pt>
              </c:strCache>
            </c:strRef>
          </c:tx>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0066"/>
              </a:solidFill>
              <a:ln w="3175">
                <a:noFill/>
              </a:ln>
            </c:spPr>
          </c:dPt>
          <c:dPt>
            <c:idx val="1"/>
            <c:spPr>
              <a:solidFill>
                <a:srgbClr val="FFFF00"/>
              </a:solidFill>
              <a:ln w="3175">
                <a:noFill/>
              </a:ln>
            </c:spPr>
          </c:dPt>
          <c:dPt>
            <c:idx val="2"/>
            <c:spPr>
              <a:solidFill>
                <a:srgbClr val="FFCC00"/>
              </a:solidFill>
              <a:ln w="3175">
                <a:noFill/>
              </a:ln>
            </c:spPr>
          </c:dPt>
          <c:dPt>
            <c:idx val="3"/>
            <c:spPr>
              <a:solidFill>
                <a:srgbClr val="800000"/>
              </a:solidFill>
              <a:ln w="3175">
                <a:noFill/>
              </a:ln>
            </c:spPr>
          </c:dPt>
          <c:dPt>
            <c:idx val="4"/>
            <c:spPr>
              <a:solidFill>
                <a:srgbClr val="969696"/>
              </a:solidFill>
              <a:ln w="3175">
                <a:noFill/>
              </a:ln>
            </c:spPr>
          </c:dPt>
          <c:dPt>
            <c:idx val="5"/>
            <c:spPr>
              <a:solidFill>
                <a:srgbClr val="008000"/>
              </a:solidFill>
              <a:ln w="3175">
                <a:noFill/>
              </a:ln>
            </c:spPr>
          </c:dPt>
          <c:dPt>
            <c:idx val="6"/>
            <c:spPr>
              <a:solidFill>
                <a:srgbClr val="99CCFF"/>
              </a:solidFill>
              <a:ln w="3175">
                <a:noFill/>
              </a:ln>
            </c:spPr>
          </c:dPt>
          <c:dPt>
            <c:idx val="7"/>
            <c:explosion val="18"/>
            <c:spPr>
              <a:solidFill>
                <a:srgbClr val="3366FF"/>
              </a:solidFill>
              <a:ln w="3175">
                <a:noFill/>
              </a:ln>
            </c:spPr>
          </c:dPt>
          <c:dLbls>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(Calculation!$H$7:$H$13,Calculation!$H$16)</c:f>
              <c:strCache>
                <c:ptCount val="8"/>
                <c:pt idx="0">
                  <c:v>DH</c:v>
                </c:pt>
                <c:pt idx="1">
                  <c:v>Natural gas</c:v>
                </c:pt>
                <c:pt idx="2">
                  <c:v>LNG</c:v>
                </c:pt>
                <c:pt idx="3">
                  <c:v>Oil</c:v>
                </c:pt>
                <c:pt idx="4">
                  <c:v>Coal</c:v>
                </c:pt>
                <c:pt idx="5">
                  <c:v>Wood</c:v>
                </c:pt>
                <c:pt idx="6">
                  <c:v>Electric heating</c:v>
                </c:pt>
                <c:pt idx="7">
                  <c:v>Electricity</c:v>
                </c:pt>
              </c:strCache>
            </c:strRef>
          </c:cat>
          <c:val>
            <c:numRef>
              <c:f>(Calculation!$O$7:$O$13,Calculation!$O$16)</c:f>
              <c:numCache>
                <c:ptCount val="8"/>
                <c:pt idx="0">
                  <c:v>100806.60102389079</c:v>
                </c:pt>
                <c:pt idx="1">
                  <c:v>1174368.2229522187</c:v>
                </c:pt>
                <c:pt idx="2">
                  <c:v>156183.3219424915</c:v>
                </c:pt>
                <c:pt idx="3">
                  <c:v>1258018.820717406</c:v>
                </c:pt>
                <c:pt idx="4">
                  <c:v>47349.87723890785</c:v>
                </c:pt>
                <c:pt idx="5">
                  <c:v>9646.173614334471</c:v>
                </c:pt>
                <c:pt idx="6">
                  <c:v>451012.2070822526</c:v>
                </c:pt>
                <c:pt idx="7">
                  <c:v>1412680.7097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Emissions
Tertiary sector</a:t>
            </a:r>
          </a:p>
        </c:rich>
      </c:tx>
      <c:layout>
        <c:manualLayout>
          <c:xMode val="factor"/>
          <c:yMode val="factor"/>
          <c:x val="-0.38975"/>
          <c:y val="-0.0185"/>
        </c:manualLayout>
      </c:layout>
      <c:spPr>
        <a:noFill/>
        <a:ln>
          <a:noFill/>
        </a:ln>
      </c:spPr>
    </c:title>
    <c:plotArea>
      <c:layout>
        <c:manualLayout>
          <c:xMode val="edge"/>
          <c:yMode val="edge"/>
          <c:x val="0.3385"/>
          <c:y val="0.16975"/>
          <c:w val="0.4235"/>
          <c:h val="0.73"/>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kt&quot;" sourceLinked="0"/>
              <c:showLegendKey val="0"/>
              <c:showVal val="1"/>
              <c:showBubbleSize val="0"/>
              <c:showCatName val="0"/>
              <c:showSerName val="0"/>
              <c:showPercent val="0"/>
            </c:dLbl>
            <c:numFmt formatCode="0.0&quot; kt&quot;"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0"/>
            <c:showPercent val="0"/>
          </c:dLbls>
          <c:val>
            <c:numRef>
              <c:f>Calculation!$O$84</c:f>
              <c:numCache>
                <c:ptCount val="1"/>
                <c:pt idx="0">
                  <c:v>3471.179705179921</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FF6600"/>
              </a:solidFill>
              <a:ln w="3175">
                <a:noFill/>
              </a:ln>
            </c:spPr>
          </c:dPt>
          <c:dPt>
            <c:idx val="2"/>
            <c:spPr>
              <a:solidFill>
                <a:srgbClr val="FF9900"/>
              </a:solidFill>
              <a:ln w="3175">
                <a:noFill/>
              </a:ln>
            </c:spPr>
          </c:dPt>
          <c:dPt>
            <c:idx val="3"/>
            <c:spPr>
              <a:solidFill>
                <a:srgbClr val="FFFF00"/>
              </a:solidFill>
              <a:ln w="3175">
                <a:noFill/>
              </a:ln>
            </c:spPr>
          </c:dPt>
          <c:dPt>
            <c:idx val="4"/>
            <c:spPr>
              <a:solidFill>
                <a:srgbClr val="808000"/>
              </a:solidFill>
              <a:ln w="3175">
                <a:noFill/>
              </a:ln>
            </c:spPr>
          </c:dPt>
          <c:dPt>
            <c:idx val="5"/>
            <c:spPr>
              <a:solidFill>
                <a:srgbClr val="99CC00"/>
              </a:solidFill>
              <a:ln w="3175">
                <a:noFill/>
              </a:ln>
            </c:spPr>
          </c:dPt>
          <c:dPt>
            <c:idx val="6"/>
            <c:spPr>
              <a:solidFill>
                <a:srgbClr val="008000"/>
              </a:solidFill>
              <a:ln w="3175">
                <a:noFill/>
              </a:ln>
            </c:spPr>
          </c:dPt>
          <c:dPt>
            <c:idx val="7"/>
            <c:spPr>
              <a:solidFill>
                <a:srgbClr val="3366FF"/>
              </a:solidFill>
              <a:ln w="3175">
                <a:noFill/>
              </a:ln>
            </c:spPr>
          </c:dPt>
          <c:dPt>
            <c:idx val="8"/>
            <c:spPr>
              <a:solidFill>
                <a:srgbClr val="0000FF"/>
              </a:solidFill>
              <a:ln w="3175">
                <a:noFill/>
              </a:ln>
            </c:spPr>
          </c:dPt>
          <c:dPt>
            <c:idx val="9"/>
            <c:spPr>
              <a:solidFill>
                <a:srgbClr val="333399"/>
              </a:solidFill>
              <a:ln w="3175">
                <a:noFill/>
              </a:ln>
            </c:spPr>
          </c:dPt>
          <c:dLbls>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Calculation!$C$21:$C$30</c:f>
              <c:strCache>
                <c:ptCount val="10"/>
                <c:pt idx="0">
                  <c:v>Construction</c:v>
                </c:pt>
                <c:pt idx="1">
                  <c:v>Office</c:v>
                </c:pt>
                <c:pt idx="2">
                  <c:v>Manufacturing</c:v>
                </c:pt>
                <c:pt idx="3">
                  <c:v>Trade</c:v>
                </c:pt>
                <c:pt idx="4">
                  <c:v>Hotels</c:v>
                </c:pt>
                <c:pt idx="5">
                  <c:v>Food industry</c:v>
                </c:pt>
                <c:pt idx="6">
                  <c:v>Agriculture</c:v>
                </c:pt>
                <c:pt idx="7">
                  <c:v>Hospitals</c:v>
                </c:pt>
                <c:pt idx="8">
                  <c:v>Schools</c:v>
                </c:pt>
                <c:pt idx="9">
                  <c:v>Pools</c:v>
                </c:pt>
              </c:strCache>
            </c:strRef>
          </c:cat>
          <c:val>
            <c:numRef>
              <c:f>Calculation!$R$21:$R$30</c:f>
              <c:numCache>
                <c:ptCount val="10"/>
                <c:pt idx="0">
                  <c:v>37510.685514</c:v>
                </c:pt>
                <c:pt idx="1">
                  <c:v>1700572.51901</c:v>
                </c:pt>
                <c:pt idx="2">
                  <c:v>514272.0410800001</c:v>
                </c:pt>
                <c:pt idx="3">
                  <c:v>310934.27840874536</c:v>
                </c:pt>
                <c:pt idx="4">
                  <c:v>242446.06673505256</c:v>
                </c:pt>
                <c:pt idx="5">
                  <c:v>14314.65640182903</c:v>
                </c:pt>
                <c:pt idx="6">
                  <c:v>8795.430155</c:v>
                </c:pt>
                <c:pt idx="7">
                  <c:v>230345.58995957475</c:v>
                </c:pt>
                <c:pt idx="8">
                  <c:v>234557.2331476896</c:v>
                </c:pt>
                <c:pt idx="9">
                  <c:v>177431.2047680294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Emissions
Industry</a:t>
            </a:r>
          </a:p>
        </c:rich>
      </c:tx>
      <c:layout>
        <c:manualLayout>
          <c:xMode val="factor"/>
          <c:yMode val="factor"/>
          <c:x val="-0.42525"/>
          <c:y val="-0.02"/>
        </c:manualLayout>
      </c:layout>
      <c:spPr>
        <a:noFill/>
        <a:ln>
          <a:noFill/>
        </a:ln>
      </c:spPr>
    </c:title>
    <c:plotArea>
      <c:layout>
        <c:manualLayout>
          <c:xMode val="edge"/>
          <c:yMode val="edge"/>
          <c:x val="0.3035"/>
          <c:y val="0.18375"/>
          <c:w val="0.4505"/>
          <c:h val="0.705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kt&quot;" sourceLinked="0"/>
              <c:showLegendKey val="0"/>
              <c:showVal val="1"/>
              <c:showBubbleSize val="0"/>
              <c:showCatName val="0"/>
              <c:showSerName val="0"/>
              <c:showPercent val="0"/>
            </c:dLbl>
            <c:numFmt formatCode="0.0&quot; kt&quot;"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Calculation!$O$85</c:f>
              <c:numCache>
                <c:ptCount val="1"/>
                <c:pt idx="0">
                  <c:v>4190.750399515545</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FF6600"/>
              </a:solidFill>
              <a:ln w="3175">
                <a:noFill/>
              </a:ln>
            </c:spPr>
          </c:dPt>
          <c:dPt>
            <c:idx val="2"/>
            <c:spPr>
              <a:solidFill>
                <a:srgbClr val="FF9900"/>
              </a:solidFill>
              <a:ln w="3175">
                <a:noFill/>
              </a:ln>
            </c:spPr>
          </c:dPt>
          <c:dPt>
            <c:idx val="3"/>
            <c:spPr>
              <a:solidFill>
                <a:srgbClr val="FFFF00"/>
              </a:solidFill>
              <a:ln w="3175">
                <a:noFill/>
              </a:ln>
            </c:spPr>
          </c:dPt>
          <c:dPt>
            <c:idx val="4"/>
            <c:spPr>
              <a:solidFill>
                <a:srgbClr val="808000"/>
              </a:solidFill>
              <a:ln w="3175">
                <a:noFill/>
              </a:ln>
            </c:spPr>
          </c:dPt>
          <c:dPt>
            <c:idx val="5"/>
            <c:spPr>
              <a:solidFill>
                <a:srgbClr val="99CC00"/>
              </a:solidFill>
              <a:ln w="3175">
                <a:noFill/>
              </a:ln>
            </c:spPr>
          </c:dPt>
          <c:dPt>
            <c:idx val="6"/>
            <c:spPr>
              <a:solidFill>
                <a:srgbClr val="008000"/>
              </a:solidFill>
              <a:ln w="3175">
                <a:noFill/>
              </a:ln>
            </c:spPr>
          </c:dPt>
          <c:dPt>
            <c:idx val="7"/>
            <c:spPr>
              <a:solidFill>
                <a:srgbClr val="3366FF"/>
              </a:solidFill>
              <a:ln w="3175">
                <a:noFill/>
              </a:ln>
            </c:spPr>
          </c:dPt>
          <c:dPt>
            <c:idx val="8"/>
            <c:spPr>
              <a:solidFill>
                <a:srgbClr val="0000FF"/>
              </a:solidFill>
              <a:ln w="3175">
                <a:noFill/>
              </a:ln>
            </c:spPr>
          </c:dPt>
          <c:dPt>
            <c:idx val="9"/>
            <c:spPr>
              <a:solidFill>
                <a:srgbClr val="000080"/>
              </a:solidFill>
              <a:ln w="3175">
                <a:noFill/>
              </a:ln>
            </c:spPr>
          </c:dPt>
          <c:dPt>
            <c:idx val="10"/>
            <c:spPr>
              <a:solidFill>
                <a:srgbClr val="333399"/>
              </a:solidFill>
              <a:ln w="3175">
                <a:noFill/>
              </a:ln>
            </c:spPr>
          </c:dPt>
          <c:dPt>
            <c:idx val="11"/>
            <c:spPr>
              <a:solidFill>
                <a:srgbClr val="800080"/>
              </a:solidFill>
              <a:ln w="3175">
                <a:noFill/>
              </a:ln>
            </c:spPr>
          </c:dPt>
          <c:dPt>
            <c:idx val="12"/>
            <c:spPr>
              <a:solidFill>
                <a:srgbClr val="660066"/>
              </a:solidFill>
              <a:ln w="3175">
                <a:noFill/>
              </a:ln>
            </c:spPr>
          </c:dPt>
          <c:dPt>
            <c:idx val="13"/>
            <c:spPr>
              <a:solidFill>
                <a:srgbClr val="993366"/>
              </a:solidFill>
              <a:ln w="3175">
                <a:noFill/>
              </a:ln>
            </c:spPr>
          </c:dPt>
          <c:dLbls>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Calculation!$C$48:$C$61</c:f>
              <c:strCache>
                <c:ptCount val="14"/>
                <c:pt idx="0">
                  <c:v>Mining</c:v>
                </c:pt>
                <c:pt idx="1">
                  <c:v>Food</c:v>
                </c:pt>
                <c:pt idx="2">
                  <c:v>Paper</c:v>
                </c:pt>
                <c:pt idx="3">
                  <c:v>Basic chemistry</c:v>
                </c:pt>
                <c:pt idx="4">
                  <c:v>Other chem.</c:v>
                </c:pt>
                <c:pt idx="5">
                  <c:v>Rubber</c:v>
                </c:pt>
                <c:pt idx="6">
                  <c:v>Glass</c:v>
                </c:pt>
                <c:pt idx="7">
                  <c:v>Stones</c:v>
                </c:pt>
                <c:pt idx="8">
                  <c:v>Iron &amp; steel</c:v>
                </c:pt>
                <c:pt idx="9">
                  <c:v>Non-ferrous metal</c:v>
                </c:pt>
                <c:pt idx="10">
                  <c:v>Metal processing</c:v>
                </c:pt>
                <c:pt idx="11">
                  <c:v>Machine</c:v>
                </c:pt>
                <c:pt idx="12">
                  <c:v>Vehicle</c:v>
                </c:pt>
                <c:pt idx="13">
                  <c:v>Other</c:v>
                </c:pt>
              </c:strCache>
            </c:strRef>
          </c:cat>
          <c:val>
            <c:numRef>
              <c:f>Calculation!$O$48:$O$61</c:f>
              <c:numCache>
                <c:ptCount val="14"/>
                <c:pt idx="0">
                  <c:v>53235.286756321286</c:v>
                </c:pt>
                <c:pt idx="1">
                  <c:v>162401.048049183</c:v>
                </c:pt>
                <c:pt idx="2">
                  <c:v>207489.31091094544</c:v>
                </c:pt>
                <c:pt idx="3">
                  <c:v>511400.6463748867</c:v>
                </c:pt>
                <c:pt idx="4">
                  <c:v>31719.13110162962</c:v>
                </c:pt>
                <c:pt idx="5">
                  <c:v>14848.002403281973</c:v>
                </c:pt>
                <c:pt idx="6">
                  <c:v>161803.28186842139</c:v>
                </c:pt>
                <c:pt idx="7">
                  <c:v>369306.5725883861</c:v>
                </c:pt>
                <c:pt idx="8">
                  <c:v>1126513.1808882146</c:v>
                </c:pt>
                <c:pt idx="9">
                  <c:v>351360.9044474393</c:v>
                </c:pt>
                <c:pt idx="10">
                  <c:v>262636.679731304</c:v>
                </c:pt>
                <c:pt idx="11">
                  <c:v>69879.10781038448</c:v>
                </c:pt>
                <c:pt idx="12">
                  <c:v>449565.58197651984</c:v>
                </c:pt>
                <c:pt idx="13">
                  <c:v>418591.66460862744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Emissions
Transport</a:t>
            </a:r>
          </a:p>
        </c:rich>
      </c:tx>
      <c:layout>
        <c:manualLayout>
          <c:xMode val="factor"/>
          <c:yMode val="factor"/>
          <c:x val="-0.42725"/>
          <c:y val="-0.02275"/>
        </c:manualLayout>
      </c:layout>
      <c:spPr>
        <a:noFill/>
        <a:ln>
          <a:noFill/>
        </a:ln>
      </c:spPr>
    </c:title>
    <c:plotArea>
      <c:layout>
        <c:manualLayout>
          <c:xMode val="edge"/>
          <c:yMode val="edge"/>
          <c:x val="0.34225"/>
          <c:y val="0.21625"/>
          <c:w val="0.41125"/>
          <c:h val="0.6222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kt&quot;" sourceLinked="0"/>
              <c:showLegendKey val="0"/>
              <c:showVal val="1"/>
              <c:showBubbleSize val="0"/>
              <c:showCatName val="0"/>
              <c:showSerName val="0"/>
              <c:showPercent val="0"/>
            </c:dLbl>
            <c:numFmt formatCode="0.0&quot; kt&quot;"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0"/>
            <c:showPercent val="0"/>
          </c:dLbls>
          <c:val>
            <c:numRef>
              <c:f>Calculation!$O$86</c:f>
              <c:numCache>
                <c:ptCount val="1"/>
                <c:pt idx="0">
                  <c:v>3587.437438852205</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993300"/>
              </a:solidFill>
              <a:ln w="3175">
                <a:noFill/>
              </a:ln>
            </c:spPr>
          </c:dPt>
          <c:dPt>
            <c:idx val="2"/>
            <c:spPr>
              <a:solidFill>
                <a:srgbClr val="FF6600"/>
              </a:solidFill>
              <a:ln w="3175">
                <a:noFill/>
              </a:ln>
            </c:spPr>
          </c:dPt>
          <c:dPt>
            <c:idx val="3"/>
            <c:spPr>
              <a:solidFill>
                <a:srgbClr val="FF9900"/>
              </a:solidFill>
              <a:ln w="3175">
                <a:noFill/>
              </a:ln>
            </c:spPr>
          </c:dPt>
          <c:dPt>
            <c:idx val="4"/>
            <c:spPr>
              <a:solidFill>
                <a:srgbClr val="99CC00"/>
              </a:solidFill>
              <a:ln w="3175">
                <a:noFill/>
              </a:ln>
            </c:spPr>
          </c:dPt>
          <c:dPt>
            <c:idx val="5"/>
            <c:spPr>
              <a:solidFill>
                <a:srgbClr val="339966"/>
              </a:solidFill>
              <a:ln w="3175">
                <a:noFill/>
              </a:ln>
            </c:spPr>
          </c:dPt>
          <c:dPt>
            <c:idx val="6"/>
            <c:spPr>
              <a:solidFill>
                <a:srgbClr val="008000"/>
              </a:solidFill>
              <a:ln w="3175">
                <a:noFill/>
              </a:ln>
            </c:spPr>
          </c:dPt>
          <c:dPt>
            <c:idx val="7"/>
            <c:spPr>
              <a:solidFill>
                <a:srgbClr val="003300"/>
              </a:solidFill>
              <a:ln w="3175">
                <a:noFill/>
              </a:ln>
            </c:spPr>
          </c:dPt>
          <c:dPt>
            <c:idx val="8"/>
            <c:spPr>
              <a:solidFill>
                <a:srgbClr val="0000FF"/>
              </a:solidFill>
              <a:ln w="3175">
                <a:noFill/>
              </a:ln>
            </c:spPr>
          </c:dPt>
          <c:dPt>
            <c:idx val="9"/>
            <c:spPr>
              <a:solidFill>
                <a:srgbClr val="3366FF"/>
              </a:solidFill>
              <a:ln w="3175">
                <a:noFill/>
              </a:ln>
            </c:spPr>
          </c:dPt>
          <c:dLbls>
            <c:dLbl>
              <c:idx val="0"/>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(Calculation!$C$67:$C$70,Calculation!$C$72:$C$77)</c:f>
              <c:strCache>
                <c:ptCount val="10"/>
                <c:pt idx="0">
                  <c:v>Ship</c:v>
                </c:pt>
                <c:pt idx="1">
                  <c:v>Rails</c:v>
                </c:pt>
                <c:pt idx="2">
                  <c:v>Airline</c:v>
                </c:pt>
                <c:pt idx="3">
                  <c:v>Trucks</c:v>
                </c:pt>
                <c:pt idx="4">
                  <c:v>Walk</c:v>
                </c:pt>
                <c:pt idx="5">
                  <c:v>Bicycle</c:v>
                </c:pt>
                <c:pt idx="6">
                  <c:v>Bus</c:v>
                </c:pt>
                <c:pt idx="7">
                  <c:v>Train</c:v>
                </c:pt>
                <c:pt idx="8">
                  <c:v>Airline</c:v>
                </c:pt>
                <c:pt idx="9">
                  <c:v>Car</c:v>
                </c:pt>
              </c:strCache>
            </c:strRef>
          </c:cat>
          <c:val>
            <c:numRef>
              <c:f>(Calculation!$O$67:$O$70,Calculation!$O$72:$O$77)</c:f>
              <c:numCache>
                <c:ptCount val="10"/>
                <c:pt idx="0">
                  <c:v>37416.7094353482</c:v>
                </c:pt>
                <c:pt idx="1">
                  <c:v>58678.496941975485</c:v>
                </c:pt>
                <c:pt idx="2">
                  <c:v>40536.77082495848</c:v>
                </c:pt>
                <c:pt idx="3">
                  <c:v>807026.9362878214</c:v>
                </c:pt>
                <c:pt idx="4">
                  <c:v>0</c:v>
                </c:pt>
                <c:pt idx="5">
                  <c:v>0</c:v>
                </c:pt>
                <c:pt idx="6">
                  <c:v>99626.87924347505</c:v>
                </c:pt>
                <c:pt idx="7">
                  <c:v>98165.36023256832</c:v>
                </c:pt>
                <c:pt idx="8">
                  <c:v>339967.21808805806</c:v>
                </c:pt>
                <c:pt idx="9">
                  <c:v>2106019.0677980003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125"/>
          <c:w val="0.80475"/>
          <c:h val="0.94775"/>
        </c:manualLayout>
      </c:layout>
      <c:scatterChart>
        <c:scatterStyle val="lineMarker"/>
        <c:varyColors val="0"/>
        <c:ser>
          <c:idx val="0"/>
          <c:order val="0"/>
          <c:tx>
            <c:strRef>
              <c:f>Calculation!$C$94</c:f>
              <c:strCache>
                <c:ptCount val="1"/>
                <c:pt idx="0">
                  <c:v>House: District heating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66FF"/>
              </a:solidFill>
              <a:ln>
                <a:solidFill>
                  <a:srgbClr val="3366FF"/>
                </a:solidFill>
              </a:ln>
            </c:spPr>
          </c:marker>
          <c:xVal>
            <c:numRef>
              <c:f>Calculation!$D$94</c:f>
              <c:numCache>
                <c:ptCount val="1"/>
                <c:pt idx="0">
                  <c:v>302.7225255972696</c:v>
                </c:pt>
              </c:numCache>
            </c:numRef>
          </c:xVal>
          <c:yVal>
            <c:numRef>
              <c:f>Calculation!$F$94</c:f>
              <c:numCache>
                <c:ptCount val="1"/>
                <c:pt idx="0">
                  <c:v>100.80660102389079</c:v>
                </c:pt>
              </c:numCache>
            </c:numRef>
          </c:yVal>
          <c:smooth val="0"/>
        </c:ser>
        <c:ser>
          <c:idx val="1"/>
          <c:order val="1"/>
          <c:tx>
            <c:strRef>
              <c:f>Calculation!$C$95</c:f>
              <c:strCache>
                <c:ptCount val="1"/>
                <c:pt idx="0">
                  <c:v>House: Natural gas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66FF"/>
              </a:solidFill>
              <a:ln>
                <a:solidFill>
                  <a:srgbClr val="3366FF"/>
                </a:solidFill>
              </a:ln>
            </c:spPr>
          </c:marker>
          <c:xVal>
            <c:numRef>
              <c:f>Calculation!$D$95</c:f>
              <c:numCache>
                <c:ptCount val="1"/>
                <c:pt idx="0">
                  <c:v>4353.058873720138</c:v>
                </c:pt>
              </c:numCache>
            </c:numRef>
          </c:xVal>
          <c:yVal>
            <c:numRef>
              <c:f>Calculation!$F$95</c:f>
              <c:numCache>
                <c:ptCount val="1"/>
                <c:pt idx="0">
                  <c:v>1174.3682229522187</c:v>
                </c:pt>
              </c:numCache>
            </c:numRef>
          </c:yVal>
          <c:smooth val="0"/>
        </c:ser>
        <c:ser>
          <c:idx val="2"/>
          <c:order val="2"/>
          <c:tx>
            <c:strRef>
              <c:f>Calculation!$C$96</c:f>
              <c:strCache>
                <c:ptCount val="1"/>
                <c:pt idx="0">
                  <c:v>House: Liquid natural gas (LNG)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3366FF"/>
              </a:solidFill>
              <a:ln>
                <a:solidFill>
                  <a:srgbClr val="3366FF"/>
                </a:solidFill>
              </a:ln>
            </c:spPr>
          </c:marker>
          <c:xVal>
            <c:numRef>
              <c:f>Calculation!$D$96</c:f>
              <c:numCache>
                <c:ptCount val="1"/>
                <c:pt idx="0">
                  <c:v>480.77116894197957</c:v>
                </c:pt>
              </c:numCache>
            </c:numRef>
          </c:xVal>
          <c:yVal>
            <c:numRef>
              <c:f>Calculation!$F$96</c:f>
              <c:numCache>
                <c:ptCount val="1"/>
                <c:pt idx="0">
                  <c:v>156.1833219424915</c:v>
                </c:pt>
              </c:numCache>
            </c:numRef>
          </c:yVal>
          <c:smooth val="0"/>
        </c:ser>
        <c:ser>
          <c:idx val="3"/>
          <c:order val="3"/>
          <c:tx>
            <c:strRef>
              <c:f>Calculation!$C$97</c:f>
              <c:strCache>
                <c:ptCount val="1"/>
                <c:pt idx="0">
                  <c:v>House: Fuel oil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3366FF"/>
              </a:solidFill>
              <a:ln>
                <a:solidFill>
                  <a:srgbClr val="3366FF"/>
                </a:solidFill>
              </a:ln>
            </c:spPr>
          </c:marker>
          <c:xVal>
            <c:numRef>
              <c:f>Calculation!$D$97</c:f>
              <c:numCache>
                <c:ptCount val="1"/>
                <c:pt idx="0">
                  <c:v>3399.040341296928</c:v>
                </c:pt>
              </c:numCache>
            </c:numRef>
          </c:xVal>
          <c:yVal>
            <c:numRef>
              <c:f>Calculation!$F$97</c:f>
              <c:numCache>
                <c:ptCount val="1"/>
                <c:pt idx="0">
                  <c:v>1258.018820717406</c:v>
                </c:pt>
              </c:numCache>
            </c:numRef>
          </c:yVal>
          <c:smooth val="0"/>
        </c:ser>
        <c:ser>
          <c:idx val="4"/>
          <c:order val="4"/>
          <c:tx>
            <c:strRef>
              <c:f>Calculation!$C$98</c:f>
              <c:strCache>
                <c:ptCount val="1"/>
                <c:pt idx="0">
                  <c:v>House: Coal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9"/>
            <c:spPr>
              <a:noFill/>
              <a:ln>
                <a:solidFill>
                  <a:srgbClr val="3366FF"/>
                </a:solidFill>
              </a:ln>
            </c:spPr>
          </c:marker>
          <c:xVal>
            <c:numRef>
              <c:f>Calculation!$D$98</c:f>
              <c:numCache>
                <c:ptCount val="1"/>
                <c:pt idx="0">
                  <c:v>88.76825938566553</c:v>
                </c:pt>
              </c:numCache>
            </c:numRef>
          </c:xVal>
          <c:yVal>
            <c:numRef>
              <c:f>Calculation!$F$98</c:f>
              <c:numCache>
                <c:ptCount val="1"/>
                <c:pt idx="0">
                  <c:v>47.34987723890785</c:v>
                </c:pt>
              </c:numCache>
            </c:numRef>
          </c:yVal>
          <c:smooth val="0"/>
        </c:ser>
        <c:ser>
          <c:idx val="5"/>
          <c:order val="5"/>
          <c:tx>
            <c:strRef>
              <c:f>Calculation!$C$99</c:f>
              <c:strCache>
                <c:ptCount val="1"/>
                <c:pt idx="0">
                  <c:v>House: Wood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3366FF"/>
                </a:solidFill>
              </a:ln>
            </c:spPr>
          </c:marker>
          <c:xVal>
            <c:numRef>
              <c:f>Calculation!$D$99</c:f>
              <c:numCache>
                <c:ptCount val="1"/>
                <c:pt idx="0">
                  <c:v>334.5880546075086</c:v>
                </c:pt>
              </c:numCache>
            </c:numRef>
          </c:xVal>
          <c:yVal>
            <c:numRef>
              <c:f>Calculation!$F$99</c:f>
              <c:numCache>
                <c:ptCount val="1"/>
                <c:pt idx="0">
                  <c:v>9.646173614334472</c:v>
                </c:pt>
              </c:numCache>
            </c:numRef>
          </c:yVal>
          <c:smooth val="0"/>
        </c:ser>
        <c:ser>
          <c:idx val="6"/>
          <c:order val="6"/>
          <c:tx>
            <c:strRef>
              <c:f>Calculation!$C$100</c:f>
              <c:strCache>
                <c:ptCount val="1"/>
                <c:pt idx="0">
                  <c:v>House: Electric heating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008080"/>
                </a:solidFill>
              </a:ln>
            </c:spPr>
          </c:marker>
          <c:xVal>
            <c:numRef>
              <c:f>Calculation!$D$100</c:f>
              <c:numCache>
                <c:ptCount val="1"/>
                <c:pt idx="0">
                  <c:v>740.4689078498294</c:v>
                </c:pt>
              </c:numCache>
            </c:numRef>
          </c:xVal>
          <c:yVal>
            <c:numRef>
              <c:f>Calculation!$F$100</c:f>
              <c:numCache>
                <c:ptCount val="1"/>
                <c:pt idx="0">
                  <c:v>451.0122070822526</c:v>
                </c:pt>
              </c:numCache>
            </c:numRef>
          </c:yVal>
          <c:smooth val="0"/>
        </c:ser>
        <c:ser>
          <c:idx val="7"/>
          <c:order val="7"/>
          <c:tx>
            <c:strRef>
              <c:f>Calculation!$C$101</c:f>
              <c:strCache>
                <c:ptCount val="1"/>
                <c:pt idx="0">
                  <c:v>Comm: Construction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66"/>
              </a:solidFill>
              <a:ln>
                <a:solidFill>
                  <a:srgbClr val="339966"/>
                </a:solidFill>
              </a:ln>
            </c:spPr>
          </c:marker>
          <c:xVal>
            <c:numRef>
              <c:f>Calculation!$D$101</c:f>
              <c:numCache>
                <c:ptCount val="1"/>
                <c:pt idx="0">
                  <c:v>83.3967</c:v>
                </c:pt>
              </c:numCache>
            </c:numRef>
          </c:xVal>
          <c:yVal>
            <c:numRef>
              <c:f>Calculation!$F$101</c:f>
              <c:numCache>
                <c:ptCount val="1"/>
                <c:pt idx="0">
                  <c:v>19.585714995</c:v>
                </c:pt>
              </c:numCache>
            </c:numRef>
          </c:yVal>
          <c:smooth val="0"/>
        </c:ser>
        <c:ser>
          <c:idx val="8"/>
          <c:order val="8"/>
          <c:tx>
            <c:strRef>
              <c:f>Calculation!$C$102</c:f>
              <c:strCache>
                <c:ptCount val="1"/>
                <c:pt idx="0">
                  <c:v>Comm: Office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9966"/>
              </a:solidFill>
              <a:ln>
                <a:solidFill>
                  <a:srgbClr val="339966"/>
                </a:solidFill>
              </a:ln>
            </c:spPr>
          </c:marker>
          <c:xVal>
            <c:numRef>
              <c:f>Calculation!$D$102</c:f>
              <c:numCache>
                <c:ptCount val="1"/>
                <c:pt idx="0">
                  <c:v>3784.268</c:v>
                </c:pt>
              </c:numCache>
            </c:numRef>
          </c:xVal>
          <c:yVal>
            <c:numRef>
              <c:f>Calculation!$F$102</c:f>
              <c:numCache>
                <c:ptCount val="1"/>
                <c:pt idx="0">
                  <c:v>888.7353397999999</c:v>
                </c:pt>
              </c:numCache>
            </c:numRef>
          </c:yVal>
          <c:smooth val="0"/>
        </c:ser>
        <c:ser>
          <c:idx val="9"/>
          <c:order val="9"/>
          <c:tx>
            <c:strRef>
              <c:f>Calculation!$C$103</c:f>
              <c:strCache>
                <c:ptCount val="1"/>
                <c:pt idx="0">
                  <c:v>Comm: Manufacturing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339966"/>
              </a:solidFill>
              <a:ln>
                <a:solidFill>
                  <a:srgbClr val="339966"/>
                </a:solidFill>
              </a:ln>
            </c:spPr>
          </c:marker>
          <c:xVal>
            <c:numRef>
              <c:f>Calculation!$D$103</c:f>
              <c:numCache>
                <c:ptCount val="1"/>
                <c:pt idx="0">
                  <c:v>836.248</c:v>
                </c:pt>
              </c:numCache>
            </c:numRef>
          </c:xVal>
          <c:yVal>
            <c:numRef>
              <c:f>Calculation!$F$103</c:f>
              <c:numCache>
                <c:ptCount val="1"/>
                <c:pt idx="0">
                  <c:v>196.3928428</c:v>
                </c:pt>
              </c:numCache>
            </c:numRef>
          </c:yVal>
          <c:smooth val="0"/>
        </c:ser>
        <c:ser>
          <c:idx val="10"/>
          <c:order val="10"/>
          <c:tx>
            <c:strRef>
              <c:f>Calculation!$C$104</c:f>
              <c:strCache>
                <c:ptCount val="1"/>
                <c:pt idx="0">
                  <c:v>Comm: Trade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339966"/>
              </a:solidFill>
              <a:ln>
                <a:solidFill>
                  <a:srgbClr val="339966"/>
                </a:solidFill>
              </a:ln>
            </c:spPr>
          </c:marker>
          <c:xVal>
            <c:numRef>
              <c:f>Calculation!$D$104</c:f>
              <c:numCache>
                <c:ptCount val="1"/>
                <c:pt idx="0">
                  <c:v>471.61705080619726</c:v>
                </c:pt>
              </c:numCache>
            </c:numRef>
          </c:xVal>
          <c:yVal>
            <c:numRef>
              <c:f>Calculation!$F$104</c:f>
              <c:numCache>
                <c:ptCount val="1"/>
                <c:pt idx="0">
                  <c:v>110.75926438183542</c:v>
                </c:pt>
              </c:numCache>
            </c:numRef>
          </c:yVal>
          <c:smooth val="0"/>
        </c:ser>
        <c:ser>
          <c:idx val="11"/>
          <c:order val="11"/>
          <c:tx>
            <c:strRef>
              <c:f>Calculation!$C$105</c:f>
              <c:strCache>
                <c:ptCount val="1"/>
                <c:pt idx="0">
                  <c:v>Comm: Hotels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9"/>
            <c:spPr>
              <a:noFill/>
              <a:ln>
                <a:solidFill>
                  <a:srgbClr val="339966"/>
                </a:solidFill>
              </a:ln>
            </c:spPr>
          </c:marker>
          <c:xVal>
            <c:numRef>
              <c:f>Calculation!$D$105</c:f>
              <c:numCache>
                <c:ptCount val="1"/>
                <c:pt idx="0">
                  <c:v>549.8014900551498</c:v>
                </c:pt>
              </c:numCache>
            </c:numRef>
          </c:xVal>
          <c:yVal>
            <c:numRef>
              <c:f>Calculation!$F$105</c:f>
              <c:numCache>
                <c:ptCount val="1"/>
                <c:pt idx="0">
                  <c:v>129.12087993945192</c:v>
                </c:pt>
              </c:numCache>
            </c:numRef>
          </c:yVal>
          <c:smooth val="0"/>
        </c:ser>
        <c:ser>
          <c:idx val="12"/>
          <c:order val="12"/>
          <c:tx>
            <c:strRef>
              <c:f>Calculation!$C$106</c:f>
              <c:strCache>
                <c:ptCount val="1"/>
                <c:pt idx="0">
                  <c:v>Comm: Food industry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339966"/>
                </a:solidFill>
              </a:ln>
            </c:spPr>
          </c:marker>
          <c:xVal>
            <c:numRef>
              <c:f>Calculation!$D$106</c:f>
              <c:numCache>
                <c:ptCount val="1"/>
                <c:pt idx="0">
                  <c:v>22.498778149177806</c:v>
                </c:pt>
              </c:numCache>
            </c:numRef>
          </c:xVal>
          <c:yVal>
            <c:numRef>
              <c:f>Calculation!$F$106</c:f>
              <c:numCache>
                <c:ptCount val="1"/>
                <c:pt idx="0">
                  <c:v>5.283838048334407</c:v>
                </c:pt>
              </c:numCache>
            </c:numRef>
          </c:yVal>
          <c:smooth val="0"/>
        </c:ser>
        <c:ser>
          <c:idx val="13"/>
          <c:order val="13"/>
          <c:tx>
            <c:strRef>
              <c:f>Calculation!$C$107</c:f>
              <c:strCache>
                <c:ptCount val="1"/>
                <c:pt idx="0">
                  <c:v>Comm: Agriculture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339966"/>
                </a:solidFill>
              </a:ln>
            </c:spPr>
          </c:marker>
          <c:xVal>
            <c:numRef>
              <c:f>Calculation!$D$107</c:f>
              <c:numCache>
                <c:ptCount val="1"/>
                <c:pt idx="0">
                  <c:v>27.26</c:v>
                </c:pt>
              </c:numCache>
            </c:numRef>
          </c:xVal>
          <c:yVal>
            <c:numRef>
              <c:f>Calculation!$F$107</c:f>
              <c:numCache>
                <c:ptCount val="1"/>
                <c:pt idx="0">
                  <c:v>6.402011000000001</c:v>
                </c:pt>
              </c:numCache>
            </c:numRef>
          </c:yVal>
          <c:smooth val="0"/>
        </c:ser>
        <c:ser>
          <c:idx val="14"/>
          <c:order val="14"/>
          <c:tx>
            <c:strRef>
              <c:f>Calculation!$C$108</c:f>
              <c:strCache>
                <c:ptCount val="1"/>
                <c:pt idx="0">
                  <c:v>Comm: Hospitals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339966"/>
                </a:solidFill>
              </a:ln>
            </c:spPr>
          </c:marker>
          <c:xVal>
            <c:numRef>
              <c:f>Calculation!$D$108</c:f>
              <c:numCache>
                <c:ptCount val="1"/>
                <c:pt idx="0">
                  <c:v>376.90144710457275</c:v>
                </c:pt>
              </c:numCache>
            </c:numRef>
          </c:xVal>
          <c:yVal>
            <c:numRef>
              <c:f>Calculation!$F$108</c:f>
              <c:numCache>
                <c:ptCount val="1"/>
                <c:pt idx="0">
                  <c:v>88.5153048525089</c:v>
                </c:pt>
              </c:numCache>
            </c:numRef>
          </c:yVal>
          <c:smooth val="0"/>
        </c:ser>
        <c:ser>
          <c:idx val="15"/>
          <c:order val="15"/>
          <c:tx>
            <c:strRef>
              <c:f>Calculation!$C$109</c:f>
              <c:strCache>
                <c:ptCount val="1"/>
                <c:pt idx="0">
                  <c:v>Comm: Schools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noFill/>
              <a:ln>
                <a:solidFill>
                  <a:srgbClr val="339966"/>
                </a:solidFill>
              </a:ln>
            </c:spPr>
          </c:marker>
          <c:xVal>
            <c:numRef>
              <c:f>Calculation!$D$109</c:f>
              <c:numCache>
                <c:ptCount val="1"/>
                <c:pt idx="0">
                  <c:v>684.6667707146165</c:v>
                </c:pt>
              </c:numCache>
            </c:numRef>
          </c:xVal>
          <c:yVal>
            <c:numRef>
              <c:f>Calculation!$F$109</c:f>
              <c:numCache>
                <c:ptCount val="1"/>
                <c:pt idx="0">
                  <c:v>160.79399110232768</c:v>
                </c:pt>
              </c:numCache>
            </c:numRef>
          </c:yVal>
          <c:smooth val="0"/>
        </c:ser>
        <c:ser>
          <c:idx val="16"/>
          <c:order val="16"/>
          <c:tx>
            <c:strRef>
              <c:f>Calculation!$C$110</c:f>
              <c:strCache>
                <c:ptCount val="1"/>
                <c:pt idx="0">
                  <c:v>Comm: Pools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339966"/>
                </a:solidFill>
              </a:ln>
            </c:spPr>
          </c:marker>
          <c:xVal>
            <c:numRef>
              <c:f>Calculation!$D$110</c:f>
              <c:numCache>
                <c:ptCount val="1"/>
                <c:pt idx="0">
                  <c:v>334.1663935049043</c:v>
                </c:pt>
              </c:numCache>
            </c:numRef>
          </c:xVal>
          <c:yVal>
            <c:numRef>
              <c:f>Calculation!$F$110</c:f>
              <c:numCache>
                <c:ptCount val="1"/>
                <c:pt idx="0">
                  <c:v>78.47897751462678</c:v>
                </c:pt>
              </c:numCache>
            </c:numRef>
          </c:yVal>
          <c:smooth val="0"/>
        </c:ser>
        <c:ser>
          <c:idx val="17"/>
          <c:order val="17"/>
          <c:tx>
            <c:strRef>
              <c:f>Calculation!$C$111</c:f>
              <c:strCache>
                <c:ptCount val="1"/>
                <c:pt idx="0">
                  <c:v>Industry: Mining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9900"/>
              </a:solidFill>
              <a:ln>
                <a:solidFill>
                  <a:srgbClr val="FF9900"/>
                </a:solidFill>
              </a:ln>
            </c:spPr>
          </c:marker>
          <c:xVal>
            <c:numRef>
              <c:f>Calculation!$D$111</c:f>
              <c:numCache>
                <c:ptCount val="1"/>
                <c:pt idx="0">
                  <c:v>129.96800519447615</c:v>
                </c:pt>
              </c:numCache>
            </c:numRef>
          </c:xVal>
          <c:yVal>
            <c:numRef>
              <c:f>Calculation!$F$111</c:f>
              <c:numCache>
                <c:ptCount val="1"/>
                <c:pt idx="0">
                  <c:v>53.23528675632129</c:v>
                </c:pt>
              </c:numCache>
            </c:numRef>
          </c:yVal>
          <c:smooth val="0"/>
        </c:ser>
        <c:ser>
          <c:idx val="18"/>
          <c:order val="18"/>
          <c:tx>
            <c:strRef>
              <c:f>Calculation!$C$112</c:f>
              <c:strCache>
                <c:ptCount val="1"/>
                <c:pt idx="0">
                  <c:v>Industry: Food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9900"/>
              </a:solidFill>
              <a:ln>
                <a:solidFill>
                  <a:srgbClr val="FF9900"/>
                </a:solidFill>
              </a:ln>
            </c:spPr>
          </c:marker>
          <c:xVal>
            <c:numRef>
              <c:f>Calculation!$D$112</c:f>
              <c:numCache>
                <c:ptCount val="1"/>
                <c:pt idx="0">
                  <c:v>443.5851174704117</c:v>
                </c:pt>
              </c:numCache>
            </c:numRef>
          </c:xVal>
          <c:yVal>
            <c:numRef>
              <c:f>Calculation!$F$112</c:f>
              <c:numCache>
                <c:ptCount val="1"/>
                <c:pt idx="0">
                  <c:v>162.401048049183</c:v>
                </c:pt>
              </c:numCache>
            </c:numRef>
          </c:yVal>
          <c:smooth val="0"/>
        </c:ser>
        <c:ser>
          <c:idx val="19"/>
          <c:order val="19"/>
          <c:tx>
            <c:strRef>
              <c:f>Calculation!$C$113</c:f>
              <c:strCache>
                <c:ptCount val="1"/>
                <c:pt idx="0">
                  <c:v>Industry: Paper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9900"/>
              </a:solidFill>
              <a:ln>
                <a:solidFill>
                  <a:srgbClr val="FF9900"/>
                </a:solidFill>
              </a:ln>
            </c:spPr>
          </c:marker>
          <c:xVal>
            <c:numRef>
              <c:f>Calculation!$D$113</c:f>
              <c:numCache>
                <c:ptCount val="1"/>
                <c:pt idx="0">
                  <c:v>611.7344084138487</c:v>
                </c:pt>
              </c:numCache>
            </c:numRef>
          </c:xVal>
          <c:yVal>
            <c:numRef>
              <c:f>Calculation!$F$113</c:f>
              <c:numCache>
                <c:ptCount val="1"/>
                <c:pt idx="0">
                  <c:v>207.48931091094545</c:v>
                </c:pt>
              </c:numCache>
            </c:numRef>
          </c:yVal>
          <c:smooth val="0"/>
        </c:ser>
        <c:ser>
          <c:idx val="20"/>
          <c:order val="20"/>
          <c:tx>
            <c:strRef>
              <c:f>Calculation!$C$114</c:f>
              <c:strCache>
                <c:ptCount val="1"/>
                <c:pt idx="0">
                  <c:v>Industry: Basic chemistry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9900"/>
              </a:solidFill>
              <a:ln>
                <a:solidFill>
                  <a:srgbClr val="FF9900"/>
                </a:solidFill>
              </a:ln>
            </c:spPr>
          </c:marker>
          <c:xVal>
            <c:numRef>
              <c:f>Calculation!$D$114</c:f>
              <c:numCache>
                <c:ptCount val="1"/>
                <c:pt idx="0">
                  <c:v>1433.9672307692308</c:v>
                </c:pt>
              </c:numCache>
            </c:numRef>
          </c:xVal>
          <c:yVal>
            <c:numRef>
              <c:f>Calculation!$F$114</c:f>
              <c:numCache>
                <c:ptCount val="1"/>
                <c:pt idx="0">
                  <c:v>511.40064637488666</c:v>
                </c:pt>
              </c:numCache>
            </c:numRef>
          </c:yVal>
          <c:smooth val="0"/>
        </c:ser>
        <c:ser>
          <c:idx val="21"/>
          <c:order val="21"/>
          <c:tx>
            <c:strRef>
              <c:f>Calculation!$C$115</c:f>
              <c:strCache>
                <c:ptCount val="1"/>
                <c:pt idx="0">
                  <c:v>Industry: Other chem.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9"/>
            <c:spPr>
              <a:noFill/>
              <a:ln>
                <a:solidFill>
                  <a:srgbClr val="FF9900"/>
                </a:solidFill>
              </a:ln>
            </c:spPr>
          </c:marker>
          <c:xVal>
            <c:numRef>
              <c:f>Calculation!$D$115</c:f>
              <c:numCache>
                <c:ptCount val="1"/>
                <c:pt idx="0">
                  <c:v>91.29993469785573</c:v>
                </c:pt>
              </c:numCache>
            </c:numRef>
          </c:xVal>
          <c:yVal>
            <c:numRef>
              <c:f>Calculation!$F$115</c:f>
              <c:numCache>
                <c:ptCount val="1"/>
                <c:pt idx="0">
                  <c:v>31.71913110162962</c:v>
                </c:pt>
              </c:numCache>
            </c:numRef>
          </c:yVal>
          <c:smooth val="0"/>
        </c:ser>
        <c:ser>
          <c:idx val="22"/>
          <c:order val="22"/>
          <c:tx>
            <c:strRef>
              <c:f>Calculation!$C$116</c:f>
              <c:strCache>
                <c:ptCount val="1"/>
                <c:pt idx="0">
                  <c:v>Industry: Rubber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FF9900"/>
                </a:solidFill>
              </a:ln>
            </c:spPr>
          </c:marker>
          <c:xVal>
            <c:numRef>
              <c:f>Calculation!$D$116</c:f>
              <c:numCache>
                <c:ptCount val="1"/>
                <c:pt idx="0">
                  <c:v>32.83405782497104</c:v>
                </c:pt>
              </c:numCache>
            </c:numRef>
          </c:xVal>
          <c:yVal>
            <c:numRef>
              <c:f>Calculation!$F$116</c:f>
              <c:numCache>
                <c:ptCount val="1"/>
                <c:pt idx="0">
                  <c:v>14.848002403281972</c:v>
                </c:pt>
              </c:numCache>
            </c:numRef>
          </c:yVal>
          <c:smooth val="0"/>
        </c:ser>
        <c:ser>
          <c:idx val="23"/>
          <c:order val="23"/>
          <c:tx>
            <c:strRef>
              <c:f>Calculation!$C$117</c:f>
              <c:strCache>
                <c:ptCount val="1"/>
                <c:pt idx="0">
                  <c:v>Industry: Glass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9900"/>
                </a:solidFill>
              </a:ln>
            </c:spPr>
          </c:marker>
          <c:xVal>
            <c:numRef>
              <c:f>Calculation!$D$117</c:f>
              <c:numCache>
                <c:ptCount val="1"/>
                <c:pt idx="0">
                  <c:v>508.7214766248574</c:v>
                </c:pt>
              </c:numCache>
            </c:numRef>
          </c:xVal>
          <c:yVal>
            <c:numRef>
              <c:f>Calculation!$F$117</c:f>
              <c:numCache>
                <c:ptCount val="1"/>
                <c:pt idx="0">
                  <c:v>161.80328186842138</c:v>
                </c:pt>
              </c:numCache>
            </c:numRef>
          </c:yVal>
          <c:smooth val="0"/>
        </c:ser>
        <c:ser>
          <c:idx val="24"/>
          <c:order val="24"/>
          <c:tx>
            <c:strRef>
              <c:f>Calculation!$C$118</c:f>
              <c:strCache>
                <c:ptCount val="1"/>
                <c:pt idx="0">
                  <c:v>Industry: Stones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FF9900"/>
                </a:solidFill>
              </a:ln>
            </c:spPr>
          </c:marker>
          <c:xVal>
            <c:numRef>
              <c:f>Calculation!$D$118</c:f>
              <c:numCache>
                <c:ptCount val="1"/>
                <c:pt idx="0">
                  <c:v>1144.4920921071716</c:v>
                </c:pt>
              </c:numCache>
            </c:numRef>
          </c:xVal>
          <c:yVal>
            <c:numRef>
              <c:f>Calculation!$F$118</c:f>
              <c:numCache>
                <c:ptCount val="1"/>
                <c:pt idx="0">
                  <c:v>369.3065725883861</c:v>
                </c:pt>
              </c:numCache>
            </c:numRef>
          </c:yVal>
          <c:smooth val="0"/>
        </c:ser>
        <c:ser>
          <c:idx val="25"/>
          <c:order val="25"/>
          <c:tx>
            <c:strRef>
              <c:f>Calculation!$C$119</c:f>
              <c:strCache>
                <c:ptCount val="1"/>
                <c:pt idx="0">
                  <c:v>Industry: Iron &amp; steel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noFill/>
              <a:ln>
                <a:solidFill>
                  <a:srgbClr val="FF9900"/>
                </a:solidFill>
              </a:ln>
            </c:spPr>
          </c:marker>
          <c:xVal>
            <c:numRef>
              <c:f>Calculation!$D$119</c:f>
              <c:numCache>
                <c:ptCount val="1"/>
                <c:pt idx="0">
                  <c:v>3062.965304983845</c:v>
                </c:pt>
              </c:numCache>
            </c:numRef>
          </c:xVal>
          <c:yVal>
            <c:numRef>
              <c:f>Calculation!$F$119</c:f>
              <c:numCache>
                <c:ptCount val="1"/>
                <c:pt idx="0">
                  <c:v>1126.5131808882147</c:v>
                </c:pt>
              </c:numCache>
            </c:numRef>
          </c:yVal>
          <c:smooth val="0"/>
        </c:ser>
        <c:ser>
          <c:idx val="26"/>
          <c:order val="26"/>
          <c:tx>
            <c:strRef>
              <c:f>Calculation!$C$120</c:f>
              <c:strCache>
                <c:ptCount val="1"/>
                <c:pt idx="0">
                  <c:v>Industry: Non-ferrous metal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FF9900"/>
                </a:solidFill>
              </a:ln>
            </c:spPr>
          </c:marker>
          <c:xVal>
            <c:numRef>
              <c:f>Calculation!$D$120</c:f>
              <c:numCache>
                <c:ptCount val="1"/>
                <c:pt idx="0">
                  <c:v>773.2215960344612</c:v>
                </c:pt>
              </c:numCache>
            </c:numRef>
          </c:xVal>
          <c:yVal>
            <c:numRef>
              <c:f>Calculation!$F$120</c:f>
              <c:numCache>
                <c:ptCount val="1"/>
                <c:pt idx="0">
                  <c:v>351.3609044474393</c:v>
                </c:pt>
              </c:numCache>
            </c:numRef>
          </c:yVal>
          <c:smooth val="0"/>
        </c:ser>
        <c:ser>
          <c:idx val="27"/>
          <c:order val="27"/>
          <c:tx>
            <c:strRef>
              <c:f>Calculation!$C$121</c:f>
              <c:strCache>
                <c:ptCount val="1"/>
                <c:pt idx="0">
                  <c:v>Industry: Metal processing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9"/>
            <c:spPr>
              <a:noFill/>
              <a:ln>
                <a:solidFill>
                  <a:srgbClr val="FF9900"/>
                </a:solidFill>
              </a:ln>
            </c:spPr>
          </c:marker>
          <c:xVal>
            <c:numRef>
              <c:f>Calculation!$D$121</c:f>
              <c:numCache>
                <c:ptCount val="1"/>
                <c:pt idx="0">
                  <c:v>646.4642258171797</c:v>
                </c:pt>
              </c:numCache>
            </c:numRef>
          </c:xVal>
          <c:yVal>
            <c:numRef>
              <c:f>Calculation!$F$121</c:f>
              <c:numCache>
                <c:ptCount val="1"/>
                <c:pt idx="0">
                  <c:v>262.636679731304</c:v>
                </c:pt>
              </c:numCache>
            </c:numRef>
          </c:yVal>
          <c:smooth val="0"/>
        </c:ser>
        <c:ser>
          <c:idx val="28"/>
          <c:order val="28"/>
          <c:tx>
            <c:strRef>
              <c:f>Calculation!$C$122</c:f>
              <c:strCache>
                <c:ptCount val="1"/>
                <c:pt idx="0">
                  <c:v>Industry: Machine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9"/>
            <c:spPr>
              <a:solidFill>
                <a:srgbClr val="FF9900"/>
              </a:solidFill>
              <a:ln>
                <a:solidFill>
                  <a:srgbClr val="FFFFFF"/>
                </a:solidFill>
              </a:ln>
            </c:spPr>
          </c:marker>
          <c:xVal>
            <c:numRef>
              <c:f>Calculation!$D$122</c:f>
              <c:numCache>
                <c:ptCount val="1"/>
                <c:pt idx="0">
                  <c:v>166.17443093168393</c:v>
                </c:pt>
              </c:numCache>
            </c:numRef>
          </c:xVal>
          <c:yVal>
            <c:numRef>
              <c:f>Calculation!$F$122</c:f>
              <c:numCache>
                <c:ptCount val="1"/>
                <c:pt idx="0">
                  <c:v>69.87910781038448</c:v>
                </c:pt>
              </c:numCache>
            </c:numRef>
          </c:yVal>
          <c:smooth val="0"/>
        </c:ser>
        <c:ser>
          <c:idx val="29"/>
          <c:order val="29"/>
          <c:tx>
            <c:strRef>
              <c:f>Calculation!$C$123</c:f>
              <c:strCache>
                <c:ptCount val="1"/>
                <c:pt idx="0">
                  <c:v>Industry: Vehicle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FF9900"/>
              </a:solidFill>
              <a:ln>
                <a:solidFill>
                  <a:srgbClr val="FFFFFF"/>
                </a:solidFill>
              </a:ln>
            </c:spPr>
          </c:marker>
          <c:xVal>
            <c:numRef>
              <c:f>Calculation!$D$123</c:f>
              <c:numCache>
                <c:ptCount val="1"/>
                <c:pt idx="0">
                  <c:v>1060.1727629781421</c:v>
                </c:pt>
              </c:numCache>
            </c:numRef>
          </c:xVal>
          <c:yVal>
            <c:numRef>
              <c:f>Calculation!$F$123</c:f>
              <c:numCache>
                <c:ptCount val="1"/>
                <c:pt idx="0">
                  <c:v>449.56558197651987</c:v>
                </c:pt>
              </c:numCache>
            </c:numRef>
          </c:yVal>
          <c:smooth val="0"/>
        </c:ser>
        <c:ser>
          <c:idx val="30"/>
          <c:order val="30"/>
          <c:tx>
            <c:strRef>
              <c:f>Calculation!$C$124</c:f>
              <c:strCache>
                <c:ptCount val="1"/>
                <c:pt idx="0">
                  <c:v>Industry: Other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rgbClr val="FF9900"/>
              </a:solidFill>
              <a:ln>
                <a:solidFill>
                  <a:srgbClr val="FF9900"/>
                </a:solidFill>
              </a:ln>
            </c:spPr>
          </c:marker>
          <c:xVal>
            <c:numRef>
              <c:f>Calculation!$D$124</c:f>
              <c:numCache>
                <c:ptCount val="1"/>
                <c:pt idx="0">
                  <c:v>1162.8315548587354</c:v>
                </c:pt>
              </c:numCache>
            </c:numRef>
          </c:xVal>
          <c:yVal>
            <c:numRef>
              <c:f>Calculation!$F$124</c:f>
              <c:numCache>
                <c:ptCount val="1"/>
                <c:pt idx="0">
                  <c:v>418.59166460862747</c:v>
                </c:pt>
              </c:numCache>
            </c:numRef>
          </c:yVal>
          <c:smooth val="0"/>
        </c:ser>
        <c:ser>
          <c:idx val="31"/>
          <c:order val="31"/>
          <c:tx>
            <c:strRef>
              <c:f>Calculation!$C$125</c:f>
              <c:strCache>
                <c:ptCount val="1"/>
                <c:pt idx="0">
                  <c:v>Transport: Ship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800000"/>
              </a:solidFill>
              <a:ln>
                <a:solidFill>
                  <a:srgbClr val="800000"/>
                </a:solidFill>
              </a:ln>
            </c:spPr>
          </c:marker>
          <c:xVal>
            <c:numRef>
              <c:f>Calculation!$D$125</c:f>
              <c:numCache>
                <c:ptCount val="1"/>
                <c:pt idx="0">
                  <c:v>64.44087349676916</c:v>
                </c:pt>
              </c:numCache>
            </c:numRef>
          </c:xVal>
          <c:yVal>
            <c:numRef>
              <c:f>Calculation!$F$125</c:f>
              <c:numCache>
                <c:ptCount val="1"/>
                <c:pt idx="0">
                  <c:v>37.4167094353482</c:v>
                </c:pt>
              </c:numCache>
            </c:numRef>
          </c:yVal>
          <c:smooth val="0"/>
        </c:ser>
        <c:ser>
          <c:idx val="32"/>
          <c:order val="32"/>
          <c:tx>
            <c:strRef>
              <c:f>Calculation!$C$126</c:f>
              <c:strCache>
                <c:ptCount val="1"/>
                <c:pt idx="0">
                  <c:v>Transport: Rails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800000"/>
              </a:solidFill>
              <a:ln>
                <a:solidFill>
                  <a:srgbClr val="800000"/>
                </a:solidFill>
              </a:ln>
            </c:spPr>
          </c:marker>
          <c:xVal>
            <c:numRef>
              <c:f>Calculation!$D$126</c:f>
              <c:numCache>
                <c:ptCount val="1"/>
                <c:pt idx="0">
                  <c:v>200.22699979353274</c:v>
                </c:pt>
              </c:numCache>
            </c:numRef>
          </c:xVal>
          <c:yVal>
            <c:numRef>
              <c:f>Calculation!$F$126</c:f>
              <c:numCache>
                <c:ptCount val="1"/>
                <c:pt idx="0">
                  <c:v>58.67849694197549</c:v>
                </c:pt>
              </c:numCache>
            </c:numRef>
          </c:yVal>
          <c:smooth val="0"/>
        </c:ser>
        <c:ser>
          <c:idx val="33"/>
          <c:order val="33"/>
          <c:tx>
            <c:strRef>
              <c:f>Calculation!$C$127</c:f>
              <c:strCache>
                <c:ptCount val="1"/>
                <c:pt idx="0">
                  <c:v>Transport: Airline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9"/>
            <c:spPr>
              <a:noFill/>
              <a:ln>
                <a:solidFill>
                  <a:srgbClr val="800000"/>
                </a:solidFill>
              </a:ln>
            </c:spPr>
          </c:marker>
          <c:xVal>
            <c:numRef>
              <c:f>Calculation!$D$127</c:f>
              <c:numCache>
                <c:ptCount val="1"/>
                <c:pt idx="0">
                  <c:v>387.1055329341633</c:v>
                </c:pt>
              </c:numCache>
            </c:numRef>
          </c:xVal>
          <c:yVal>
            <c:numRef>
              <c:f>Calculation!$F$127</c:f>
              <c:numCache>
                <c:ptCount val="1"/>
                <c:pt idx="0">
                  <c:v>40.53677082495848</c:v>
                </c:pt>
              </c:numCache>
            </c:numRef>
          </c:yVal>
          <c:smooth val="0"/>
        </c:ser>
        <c:ser>
          <c:idx val="34"/>
          <c:order val="34"/>
          <c:tx>
            <c:strRef>
              <c:f>Calculation!$C$128</c:f>
              <c:strCache>
                <c:ptCount val="1"/>
                <c:pt idx="0">
                  <c:v>Transport: Trucks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800000"/>
              </a:solidFill>
              <a:ln>
                <a:solidFill>
                  <a:srgbClr val="800000"/>
                </a:solidFill>
              </a:ln>
            </c:spPr>
          </c:marker>
          <c:xVal>
            <c:numRef>
              <c:f>Calculation!$D$128</c:f>
              <c:numCache>
                <c:ptCount val="1"/>
                <c:pt idx="0">
                  <c:v>3241.375936887489</c:v>
                </c:pt>
              </c:numCache>
            </c:numRef>
          </c:xVal>
          <c:yVal>
            <c:numRef>
              <c:f>Calculation!$F$128</c:f>
              <c:numCache>
                <c:ptCount val="1"/>
                <c:pt idx="0">
                  <c:v>807.0269362878214</c:v>
                </c:pt>
              </c:numCache>
            </c:numRef>
          </c:yVal>
          <c:smooth val="0"/>
        </c:ser>
        <c:ser>
          <c:idx val="35"/>
          <c:order val="35"/>
          <c:tx>
            <c:strRef>
              <c:f>Calculation!$C$129</c:f>
              <c:strCache>
                <c:ptCount val="1"/>
                <c:pt idx="0">
                  <c:v>Transport: Walk</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800000"/>
                </a:solidFill>
              </a:ln>
            </c:spPr>
          </c:marker>
          <c:xVal>
            <c:numRef>
              <c:f>Calculation!$D$129</c:f>
              <c:numCache>
                <c:ptCount val="1"/>
                <c:pt idx="0">
                  <c:v>0</c:v>
                </c:pt>
              </c:numCache>
            </c:numRef>
          </c:xVal>
          <c:yVal>
            <c:numRef>
              <c:f>Calculation!$F$129</c:f>
              <c:numCache>
                <c:ptCount val="1"/>
                <c:pt idx="0">
                  <c:v>0</c:v>
                </c:pt>
              </c:numCache>
            </c:numRef>
          </c:yVal>
          <c:smooth val="0"/>
        </c:ser>
        <c:ser>
          <c:idx val="36"/>
          <c:order val="36"/>
          <c:tx>
            <c:strRef>
              <c:f>Calculation!$C$130</c:f>
              <c:strCache>
                <c:ptCount val="1"/>
                <c:pt idx="0">
                  <c:v>Transport: Bicycle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800000"/>
                </a:solidFill>
              </a:ln>
            </c:spPr>
          </c:marker>
          <c:xVal>
            <c:numRef>
              <c:f>Calculation!$D$130</c:f>
              <c:numCache>
                <c:ptCount val="1"/>
                <c:pt idx="0">
                  <c:v>0</c:v>
                </c:pt>
              </c:numCache>
            </c:numRef>
          </c:xVal>
          <c:yVal>
            <c:numRef>
              <c:f>Calculation!$F$130</c:f>
              <c:numCache>
                <c:ptCount val="1"/>
                <c:pt idx="0">
                  <c:v>0</c:v>
                </c:pt>
              </c:numCache>
            </c:numRef>
          </c:yVal>
          <c:smooth val="0"/>
        </c:ser>
        <c:ser>
          <c:idx val="37"/>
          <c:order val="37"/>
          <c:tx>
            <c:strRef>
              <c:f>Calculation!$C$131</c:f>
              <c:strCache>
                <c:ptCount val="1"/>
                <c:pt idx="0">
                  <c:v>Transport: Bus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a:solidFill>
                  <a:srgbClr val="800000"/>
                </a:solidFill>
              </a:ln>
            </c:spPr>
          </c:marker>
          <c:xVal>
            <c:numRef>
              <c:f>Calculation!$D$131</c:f>
              <c:numCache>
                <c:ptCount val="1"/>
                <c:pt idx="0">
                  <c:v>205.2902112825646</c:v>
                </c:pt>
              </c:numCache>
            </c:numRef>
          </c:xVal>
          <c:yVal>
            <c:numRef>
              <c:f>Calculation!$F$131</c:f>
              <c:numCache>
                <c:ptCount val="1"/>
                <c:pt idx="0">
                  <c:v>99.62687924347505</c:v>
                </c:pt>
              </c:numCache>
            </c:numRef>
          </c:yVal>
          <c:smooth val="0"/>
        </c:ser>
        <c:ser>
          <c:idx val="38"/>
          <c:order val="38"/>
          <c:tx>
            <c:strRef>
              <c:f>Calculation!$C$132</c:f>
              <c:strCache>
                <c:ptCount val="1"/>
                <c:pt idx="0">
                  <c:v>Transport: Train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noFill/>
              <a:ln>
                <a:solidFill>
                  <a:srgbClr val="800000"/>
                </a:solidFill>
              </a:ln>
            </c:spPr>
          </c:marker>
          <c:xVal>
            <c:numRef>
              <c:f>Calculation!$D$132</c:f>
              <c:numCache>
                <c:ptCount val="1"/>
                <c:pt idx="0">
                  <c:v>514.6064040670566</c:v>
                </c:pt>
              </c:numCache>
            </c:numRef>
          </c:xVal>
          <c:yVal>
            <c:numRef>
              <c:f>Calculation!$F$132</c:f>
              <c:numCache>
                <c:ptCount val="1"/>
                <c:pt idx="0">
                  <c:v>98.16536023256832</c:v>
                </c:pt>
              </c:numCache>
            </c:numRef>
          </c:yVal>
          <c:smooth val="0"/>
        </c:ser>
        <c:ser>
          <c:idx val="39"/>
          <c:order val="39"/>
          <c:tx>
            <c:strRef>
              <c:f>Calculation!$C$133</c:f>
              <c:strCache>
                <c:ptCount val="1"/>
                <c:pt idx="0">
                  <c:v>Transport: Airline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800000"/>
                </a:solidFill>
              </a:ln>
            </c:spPr>
          </c:marker>
          <c:xVal>
            <c:numRef>
              <c:f>Calculation!$D$133</c:f>
              <c:numCache>
                <c:ptCount val="1"/>
                <c:pt idx="0">
                  <c:v>1491.806221450206</c:v>
                </c:pt>
              </c:numCache>
            </c:numRef>
          </c:xVal>
          <c:yVal>
            <c:numRef>
              <c:f>Calculation!$F$133</c:f>
              <c:numCache>
                <c:ptCount val="1"/>
                <c:pt idx="0">
                  <c:v>339.9672180880581</c:v>
                </c:pt>
              </c:numCache>
            </c:numRef>
          </c:yVal>
          <c:smooth val="0"/>
        </c:ser>
        <c:ser>
          <c:idx val="40"/>
          <c:order val="40"/>
          <c:tx>
            <c:strRef>
              <c:f>Calculation!$C$134</c:f>
              <c:strCache>
                <c:ptCount val="1"/>
                <c:pt idx="0">
                  <c:v>Transport: Car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800000"/>
                </a:solidFill>
              </a:ln>
            </c:spPr>
          </c:marker>
          <c:xVal>
            <c:numRef>
              <c:f>Calculation!$D$134</c:f>
              <c:numCache>
                <c:ptCount val="1"/>
                <c:pt idx="0">
                  <c:v>7884.801164283254</c:v>
                </c:pt>
              </c:numCache>
            </c:numRef>
          </c:xVal>
          <c:yVal>
            <c:numRef>
              <c:f>Calculation!$F$134</c:f>
              <c:numCache>
                <c:ptCount val="1"/>
                <c:pt idx="0">
                  <c:v>2106.0190677980004</c:v>
                </c:pt>
              </c:numCache>
            </c:numRef>
          </c:yVal>
          <c:smooth val="0"/>
        </c:ser>
        <c:axId val="46045193"/>
        <c:axId val="11753554"/>
      </c:scatterChart>
      <c:valAx>
        <c:axId val="46045193"/>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Energy consumption (GWh/a)</a:t>
                </a:r>
              </a:p>
            </c:rich>
          </c:tx>
          <c:layout>
            <c:manualLayout>
              <c:xMode val="factor"/>
              <c:yMode val="factor"/>
              <c:x val="-0.0035"/>
              <c:y val="0.00025"/>
            </c:manualLayout>
          </c:layout>
          <c:overlay val="0"/>
          <c:spPr>
            <a:noFill/>
            <a:ln>
              <a:noFill/>
            </a:ln>
          </c:spPr>
        </c:title>
        <c:majorGridlines>
          <c:spPr>
            <a:ln w="3175">
              <a:solidFill>
                <a:srgbClr val="969696"/>
              </a:solidFill>
            </a:ln>
          </c:spPr>
        </c:majorGridlines>
        <c:minorGridlines>
          <c:spPr>
            <a:ln w="3175">
              <a:pattFill prst="pct50">
                <a:fgClr>
                  <a:srgbClr val="000000"/>
                </a:fgClr>
                <a:bgClr>
                  <a:srgbClr val="FFFFFF"/>
                </a:bgClr>
              </a:patt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753554"/>
        <c:crosses val="autoZero"/>
        <c:crossBetween val="midCat"/>
        <c:dispUnits/>
      </c:valAx>
      <c:valAx>
        <c:axId val="11753554"/>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Greenhouse gasm emissions (1000 t/a)</a:t>
                </a:r>
              </a:p>
            </c:rich>
          </c:tx>
          <c:layout>
            <c:manualLayout>
              <c:xMode val="factor"/>
              <c:yMode val="factor"/>
              <c:x val="-0.0095"/>
              <c:y val="0"/>
            </c:manualLayout>
          </c:layout>
          <c:overlay val="0"/>
          <c:spPr>
            <a:noFill/>
            <a:ln>
              <a:noFill/>
            </a:ln>
          </c:spPr>
        </c:title>
        <c:majorGridlines>
          <c:spPr>
            <a:ln w="3175">
              <a:solidFill>
                <a:srgbClr val="969696"/>
              </a:solidFill>
            </a:ln>
          </c:spPr>
        </c:majorGridlines>
        <c:minorGridlines>
          <c:spPr>
            <a:ln w="3175">
              <a:pattFill prst="pct50">
                <a:fgClr>
                  <a:srgbClr val="000000"/>
                </a:fgClr>
                <a:bgClr>
                  <a:srgbClr val="FFFFFF"/>
                </a:bgClr>
              </a:patt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045193"/>
        <c:crosses val="autoZero"/>
        <c:crossBetween val="midCat"/>
        <c:dispUnits/>
      </c:valAx>
      <c:spPr>
        <a:solidFill>
          <a:srgbClr val="FFFFFF"/>
        </a:solidFill>
        <a:ln w="12700">
          <a:solidFill>
            <a:srgbClr val="000000"/>
          </a:solidFill>
        </a:ln>
      </c:spPr>
    </c:plotArea>
    <c:legend>
      <c:legendPos val="r"/>
      <c:layout>
        <c:manualLayout>
          <c:xMode val="edge"/>
          <c:yMode val="edge"/>
          <c:x val="0.8435"/>
          <c:y val="0.01625"/>
          <c:w val="0.15375"/>
          <c:h val="0.967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
          <c:w val="0.94925"/>
          <c:h val="0.9617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numFmt formatCode="General" sourceLinked="1"/>
            <c:showLegendKey val="0"/>
            <c:showVal val="0"/>
            <c:showBubbleSize val="0"/>
            <c:showCatName val="0"/>
            <c:showSerName val="0"/>
            <c:showLeaderLines val="0"/>
            <c:showPercent val="0"/>
          </c:dLbls>
          <c:val>
            <c:numRef>
              <c:f>Calculation!$K$44</c:f>
              <c:numCache>
                <c:ptCount val="1"/>
                <c:pt idx="0">
                  <c:v>10104.892733153309</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FF6600"/>
              </a:solidFill>
              <a:ln w="3175">
                <a:noFill/>
              </a:ln>
            </c:spPr>
          </c:dPt>
          <c:dPt>
            <c:idx val="2"/>
            <c:spPr>
              <a:solidFill>
                <a:srgbClr val="FF9900"/>
              </a:solidFill>
              <a:ln w="3175">
                <a:noFill/>
              </a:ln>
            </c:spPr>
          </c:dPt>
          <c:dPt>
            <c:idx val="3"/>
            <c:spPr>
              <a:solidFill>
                <a:srgbClr val="FFFF00"/>
              </a:solidFill>
              <a:ln w="3175">
                <a:noFill/>
              </a:ln>
            </c:spPr>
          </c:dPt>
          <c:dPt>
            <c:idx val="4"/>
            <c:spPr>
              <a:solidFill>
                <a:srgbClr val="808000"/>
              </a:solidFill>
              <a:ln w="3175">
                <a:noFill/>
              </a:ln>
            </c:spPr>
          </c:dPt>
          <c:dPt>
            <c:idx val="5"/>
            <c:spPr>
              <a:solidFill>
                <a:srgbClr val="99CC00"/>
              </a:solidFill>
              <a:ln w="3175">
                <a:noFill/>
              </a:ln>
            </c:spPr>
          </c:dPt>
          <c:dPt>
            <c:idx val="6"/>
            <c:spPr>
              <a:solidFill>
                <a:srgbClr val="008000"/>
              </a:solidFill>
              <a:ln w="3175">
                <a:noFill/>
              </a:ln>
            </c:spPr>
          </c:dPt>
          <c:dPt>
            <c:idx val="7"/>
            <c:spPr>
              <a:solidFill>
                <a:srgbClr val="3366FF"/>
              </a:solidFill>
              <a:ln w="3175">
                <a:noFill/>
              </a:ln>
            </c:spPr>
          </c:dPt>
          <c:dPt>
            <c:idx val="8"/>
            <c:spPr>
              <a:solidFill>
                <a:srgbClr val="0000FF"/>
              </a:solidFill>
              <a:ln w="3175">
                <a:noFill/>
              </a:ln>
            </c:spPr>
          </c:dPt>
          <c:dPt>
            <c:idx val="9"/>
            <c:spPr>
              <a:solidFill>
                <a:srgbClr val="333399"/>
              </a:solidFill>
              <a:ln w="3175">
                <a:noFill/>
              </a:ln>
            </c:spPr>
          </c:dPt>
          <c:dLbls>
            <c:numFmt formatCode="General" sourceLinked="1"/>
            <c:showLegendKey val="0"/>
            <c:showVal val="0"/>
            <c:showBubbleSize val="0"/>
            <c:showCatName val="0"/>
            <c:showSerName val="0"/>
            <c:showLeaderLines val="0"/>
            <c:showPercent val="0"/>
          </c:dLbls>
          <c:cat>
            <c:strRef>
              <c:f>Calculation!$C$21:$C$30</c:f>
              <c:strCache>
                <c:ptCount val="10"/>
                <c:pt idx="0">
                  <c:v>Construction</c:v>
                </c:pt>
                <c:pt idx="1">
                  <c:v>Office</c:v>
                </c:pt>
                <c:pt idx="2">
                  <c:v>Manufacturing</c:v>
                </c:pt>
                <c:pt idx="3">
                  <c:v>Trade</c:v>
                </c:pt>
                <c:pt idx="4">
                  <c:v>Hotels</c:v>
                </c:pt>
                <c:pt idx="5">
                  <c:v>Food industry</c:v>
                </c:pt>
                <c:pt idx="6">
                  <c:v>Agriculture</c:v>
                </c:pt>
                <c:pt idx="7">
                  <c:v>Hospitals</c:v>
                </c:pt>
                <c:pt idx="8">
                  <c:v>Schools</c:v>
                </c:pt>
                <c:pt idx="9">
                  <c:v>Pools</c:v>
                </c:pt>
              </c:strCache>
            </c:strRef>
          </c:cat>
          <c:val>
            <c:numRef>
              <c:f>Calculation!$Q$21:$Q$30</c:f>
              <c:numCache>
                <c:ptCount val="10"/>
                <c:pt idx="0">
                  <c:v>112.8258</c:v>
                </c:pt>
                <c:pt idx="1">
                  <c:v>5117.137</c:v>
                </c:pt>
                <c:pt idx="2">
                  <c:v>1358.14</c:v>
                </c:pt>
                <c:pt idx="3">
                  <c:v>800.2630867399837</c:v>
                </c:pt>
                <c:pt idx="4">
                  <c:v>735.8580445800978</c:v>
                </c:pt>
                <c:pt idx="5">
                  <c:v>37.325516978406036</c:v>
                </c:pt>
                <c:pt idx="6">
                  <c:v>31.189500000000002</c:v>
                </c:pt>
                <c:pt idx="7">
                  <c:v>609.7574866177249</c:v>
                </c:pt>
                <c:pt idx="8">
                  <c:v>805.7707816906002</c:v>
                </c:pt>
                <c:pt idx="9">
                  <c:v>496.6255165464952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028"/>
          <c:w val="0.9085"/>
          <c:h val="0.90525"/>
        </c:manualLayout>
      </c:layout>
      <c:scatterChart>
        <c:scatterStyle val="lineMarker"/>
        <c:varyColors val="0"/>
        <c:ser>
          <c:idx val="0"/>
          <c:order val="0"/>
          <c:tx>
            <c:strRef>
              <c:f>Calculation!$H$84</c:f>
              <c:strCache>
                <c:ptCount val="1"/>
                <c:pt idx="0">
                  <c:v>Tertiary sector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008000"/>
              </a:solidFill>
              <a:ln>
                <a:solidFill>
                  <a:srgbClr val="008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Calculation!$K$84</c:f>
              <c:numCache>
                <c:ptCount val="1"/>
                <c:pt idx="0">
                  <c:v>10104.892733153309</c:v>
                </c:pt>
              </c:numCache>
            </c:numRef>
          </c:xVal>
          <c:yVal>
            <c:numRef>
              <c:f>Calculation!$O$84</c:f>
              <c:numCache>
                <c:ptCount val="1"/>
                <c:pt idx="0">
                  <c:v>3471.179705179921</c:v>
                </c:pt>
              </c:numCache>
            </c:numRef>
          </c:yVal>
          <c:smooth val="0"/>
        </c:ser>
        <c:ser>
          <c:idx val="1"/>
          <c:order val="1"/>
          <c:tx>
            <c:strRef>
              <c:f>Calculation!$H$85</c:f>
              <c:strCache>
                <c:ptCount val="1"/>
                <c:pt idx="0">
                  <c:v>Industry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9900"/>
              </a:solidFill>
              <a:ln>
                <a:solidFill>
                  <a:srgbClr val="FF9900"/>
                </a:solidFill>
              </a:ln>
            </c:spPr>
          </c:marker>
          <c:dLbls>
            <c:dLbl>
              <c:idx val="0"/>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a:noFill/>
                </a:ln>
              </c:spPr>
              <c:dLblPos val="l"/>
              <c:showLegendKey val="0"/>
              <c:showVal val="0"/>
              <c:showBubbleSize val="0"/>
              <c:showCatName val="0"/>
              <c:showSerName val="1"/>
              <c:showPercent val="0"/>
            </c:dLbl>
            <c:numFmt formatCode="General" sourceLinked="1"/>
            <c:spPr>
              <a:noFill/>
              <a:ln>
                <a:noFill/>
              </a:ln>
            </c:spPr>
            <c:txPr>
              <a:bodyPr vert="horz" rot="0" anchor="ctr"/>
              <a:lstStyle/>
              <a:p>
                <a:pPr algn="r">
                  <a:defRPr lang="en-US" cap="none" sz="800" b="0" i="0" u="none" baseline="0">
                    <a:solidFill>
                      <a:srgbClr val="000000"/>
                    </a:solidFill>
                    <a:latin typeface="Arial"/>
                    <a:ea typeface="Arial"/>
                    <a:cs typeface="Arial"/>
                  </a:defRPr>
                </a:pPr>
              </a:p>
            </c:txPr>
            <c:dLblPos val="l"/>
            <c:showLegendKey val="0"/>
            <c:showVal val="0"/>
            <c:showBubbleSize val="0"/>
            <c:showCatName val="0"/>
            <c:showSerName val="1"/>
            <c:showPercent val="0"/>
          </c:dLbls>
          <c:xVal>
            <c:numRef>
              <c:f>Calculation!$K$85</c:f>
              <c:numCache>
                <c:ptCount val="1"/>
                <c:pt idx="0">
                  <c:v>11268.43219870687</c:v>
                </c:pt>
              </c:numCache>
            </c:numRef>
          </c:xVal>
          <c:yVal>
            <c:numRef>
              <c:f>Calculation!$O$85</c:f>
              <c:numCache>
                <c:ptCount val="1"/>
                <c:pt idx="0">
                  <c:v>4190.750399515545</c:v>
                </c:pt>
              </c:numCache>
            </c:numRef>
          </c:yVal>
          <c:smooth val="0"/>
        </c:ser>
        <c:ser>
          <c:idx val="2"/>
          <c:order val="2"/>
          <c:tx>
            <c:strRef>
              <c:f>Calculation!$H$86</c:f>
              <c:strCache>
                <c:ptCount val="1"/>
                <c:pt idx="0">
                  <c:v>Transport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8080"/>
              </a:solidFill>
              <a:ln>
                <a:solidFill>
                  <a:srgbClr val="808080"/>
                </a:solidFill>
              </a:ln>
            </c:spPr>
          </c:marker>
          <c:dPt>
            <c:idx val="0"/>
            <c:spPr>
              <a:ln w="3175">
                <a:noFill/>
              </a:ln>
            </c:spPr>
            <c:marker>
              <c:size val="12"/>
              <c:spPr>
                <a:solidFill>
                  <a:srgbClr val="800000"/>
                </a:solidFill>
                <a:ln>
                  <a:solidFill>
                    <a:srgbClr val="800000"/>
                  </a:solidFill>
                </a:ln>
              </c:spPr>
            </c:marker>
          </c:dP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dLblPos val="l"/>
            <c:showLegendKey val="0"/>
            <c:showVal val="0"/>
            <c:showBubbleSize val="0"/>
            <c:showCatName val="0"/>
            <c:showSerName val="1"/>
            <c:showPercent val="0"/>
          </c:dLbls>
          <c:xVal>
            <c:numRef>
              <c:f>Calculation!$K$86</c:f>
              <c:numCache>
                <c:ptCount val="1"/>
                <c:pt idx="0">
                  <c:v>13989.653344195036</c:v>
                </c:pt>
              </c:numCache>
            </c:numRef>
          </c:xVal>
          <c:yVal>
            <c:numRef>
              <c:f>Calculation!$O$86</c:f>
              <c:numCache>
                <c:ptCount val="1"/>
                <c:pt idx="0">
                  <c:v>3587.437438852205</c:v>
                </c:pt>
              </c:numCache>
            </c:numRef>
          </c:yVal>
          <c:smooth val="0"/>
        </c:ser>
        <c:ser>
          <c:idx val="3"/>
          <c:order val="3"/>
          <c:tx>
            <c:strRef>
              <c:f>Calculation!$H$83</c:f>
              <c:strCache>
                <c:ptCount val="1"/>
                <c:pt idx="0">
                  <c:v>Households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3366FF"/>
              </a:solidFill>
              <a:ln>
                <a:solidFill>
                  <a:srgbClr val="3366FF"/>
                </a:solidFill>
              </a:ln>
            </c:spPr>
          </c:marker>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dLblPos val="l"/>
            <c:showLegendKey val="0"/>
            <c:showVal val="0"/>
            <c:showBubbleSize val="0"/>
            <c:showCatName val="0"/>
            <c:showSerName val="1"/>
            <c:showPercent val="0"/>
          </c:dLbls>
          <c:xVal>
            <c:numRef>
              <c:f>Calculation!$K$83</c:f>
              <c:numCache>
                <c:ptCount val="1"/>
                <c:pt idx="0">
                  <c:v>12018.748131399318</c:v>
                </c:pt>
              </c:numCache>
            </c:numRef>
          </c:xVal>
          <c:yVal>
            <c:numRef>
              <c:f>Calculation!$O$83</c:f>
              <c:numCache>
                <c:ptCount val="1"/>
                <c:pt idx="0">
                  <c:v>4610.065934271502</c:v>
                </c:pt>
              </c:numCache>
            </c:numRef>
          </c:yVal>
          <c:smooth val="0"/>
        </c:ser>
        <c:axId val="38673123"/>
        <c:axId val="12513788"/>
      </c:scatterChart>
      <c:valAx>
        <c:axId val="38673123"/>
        <c:scaling>
          <c:orientation val="minMax"/>
          <c:min val="0"/>
        </c:scaling>
        <c:axPos val="b"/>
        <c:title>
          <c:tx>
            <c:rich>
              <a:bodyPr vert="horz" rot="0" anchor="ctr"/>
              <a:lstStyle/>
              <a:p>
                <a:pPr algn="ctr">
                  <a:defRPr/>
                </a:pPr>
                <a:r>
                  <a:rPr lang="en-US" cap="none" sz="800" b="0" i="0" u="none" baseline="0">
                    <a:solidFill>
                      <a:srgbClr val="000000"/>
                    </a:solidFill>
                    <a:latin typeface="Arial"/>
                    <a:ea typeface="Arial"/>
                    <a:cs typeface="Arial"/>
                  </a:rPr>
                  <a:t>Final energy consumption (GWh/a)</a:t>
                </a:r>
              </a:p>
            </c:rich>
          </c:tx>
          <c:layout>
            <c:manualLayout>
              <c:xMode val="factor"/>
              <c:yMode val="factor"/>
              <c:x val="-0.01175"/>
              <c:y val="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513788"/>
        <c:crosses val="autoZero"/>
        <c:crossBetween val="midCat"/>
        <c:dispUnits/>
      </c:valAx>
      <c:valAx>
        <c:axId val="12513788"/>
        <c:scaling>
          <c:orientation val="minMax"/>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Greenhouse gas emissions (1000 t/a)</a:t>
                </a:r>
              </a:p>
            </c:rich>
          </c:tx>
          <c:layout>
            <c:manualLayout>
              <c:xMode val="factor"/>
              <c:yMode val="factor"/>
              <c:x val="-0.021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673123"/>
        <c:crosses val="autoZero"/>
        <c:crossBetween val="midCat"/>
        <c:dispUnits/>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028"/>
          <c:w val="0.901"/>
          <c:h val="0.8485"/>
        </c:manualLayout>
      </c:layout>
      <c:barChart>
        <c:barDir val="col"/>
        <c:grouping val="clustered"/>
        <c:varyColors val="0"/>
        <c:ser>
          <c:idx val="3"/>
          <c:order val="0"/>
          <c:tx>
            <c:strRef>
              <c:f>Calculation!$H$83</c:f>
              <c:strCache>
                <c:ptCount val="1"/>
                <c:pt idx="0">
                  <c:v>Households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0"/>
            <c:showBubbleSize val="0"/>
            <c:showCatName val="0"/>
            <c:showSerName val="1"/>
            <c:showPercent val="0"/>
          </c:dLbls>
          <c:cat>
            <c:strLit>
              <c:ptCount val="1"/>
            </c:strLit>
          </c:cat>
          <c:val>
            <c:numRef>
              <c:f>Calculation!$O$83</c:f>
              <c:numCache>
                <c:ptCount val="1"/>
                <c:pt idx="0">
                  <c:v>4610.065934271502</c:v>
                </c:pt>
              </c:numCache>
            </c:numRef>
          </c:val>
        </c:ser>
        <c:ser>
          <c:idx val="0"/>
          <c:order val="1"/>
          <c:tx>
            <c:strRef>
              <c:f>Calculation!$H$84</c:f>
              <c:strCache>
                <c:ptCount val="1"/>
                <c:pt idx="0">
                  <c:v>Tertiary sector</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cat>
            <c:strLit>
              <c:ptCount val="1"/>
            </c:strLit>
          </c:cat>
          <c:val>
            <c:numRef>
              <c:f>Calculation!$O$84</c:f>
              <c:numCache>
                <c:ptCount val="1"/>
                <c:pt idx="0">
                  <c:v>3471.179705179921</c:v>
                </c:pt>
              </c:numCache>
            </c:numRef>
          </c:val>
        </c:ser>
        <c:ser>
          <c:idx val="1"/>
          <c:order val="2"/>
          <c:tx>
            <c:strRef>
              <c:f>Calculation!$H$85</c:f>
              <c:strCache>
                <c:ptCount val="1"/>
                <c:pt idx="0">
                  <c:v>Industry</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dLblPos val="outEnd"/>
            <c:showLegendKey val="0"/>
            <c:showVal val="0"/>
            <c:showBubbleSize val="0"/>
            <c:showCatName val="0"/>
            <c:showSerName val="1"/>
            <c:showPercent val="0"/>
          </c:dLbls>
          <c:cat>
            <c:strLit>
              <c:ptCount val="1"/>
            </c:strLit>
          </c:cat>
          <c:val>
            <c:numRef>
              <c:f>Calculation!$O$85</c:f>
              <c:numCache>
                <c:ptCount val="1"/>
                <c:pt idx="0">
                  <c:v>4190.750399515545</c:v>
                </c:pt>
              </c:numCache>
            </c:numRef>
          </c:val>
        </c:ser>
        <c:ser>
          <c:idx val="2"/>
          <c:order val="3"/>
          <c:tx>
            <c:strRef>
              <c:f>Calculation!$H$86</c:f>
              <c:strCache>
                <c:ptCount val="1"/>
                <c:pt idx="0">
                  <c:v>Transport</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00"/>
              </a:solidFill>
              <a:ln w="3175">
                <a:noFill/>
              </a:ln>
            </c:spPr>
          </c:dPt>
          <c:dLbls>
            <c:numFmt formatCode="General" sourceLinked="1"/>
            <c:showLegendKey val="0"/>
            <c:showVal val="0"/>
            <c:showBubbleSize val="0"/>
            <c:showCatName val="0"/>
            <c:showSerName val="1"/>
            <c:showPercent val="0"/>
          </c:dLbls>
          <c:cat>
            <c:strLit>
              <c:ptCount val="1"/>
            </c:strLit>
          </c:cat>
          <c:val>
            <c:numRef>
              <c:f>Calculation!$O$86</c:f>
              <c:numCache>
                <c:ptCount val="1"/>
                <c:pt idx="0">
                  <c:v>3587.437438852205</c:v>
                </c:pt>
              </c:numCache>
            </c:numRef>
          </c:val>
        </c:ser>
        <c:overlap val="-10"/>
        <c:gapWidth val="30"/>
        <c:axId val="45515229"/>
        <c:axId val="6983878"/>
      </c:barChart>
      <c:catAx>
        <c:axId val="45515229"/>
        <c:scaling>
          <c:orientation val="minMax"/>
        </c:scaling>
        <c:axPos val="b"/>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6983878"/>
        <c:crosses val="autoZero"/>
        <c:auto val="1"/>
        <c:lblOffset val="100"/>
        <c:tickLblSkip val="1"/>
        <c:noMultiLvlLbl val="0"/>
      </c:catAx>
      <c:valAx>
        <c:axId val="6983878"/>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Greenhouse gas emissions (1000 t/a)</a:t>
                </a:r>
              </a:p>
            </c:rich>
          </c:tx>
          <c:layout>
            <c:manualLayout>
              <c:xMode val="factor"/>
              <c:yMode val="factor"/>
              <c:x val="-0.020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45515229"/>
        <c:crossesAt val="1"/>
        <c:crossBetween val="between"/>
        <c:dispUnits/>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5"/>
          <c:y val="0.02625"/>
          <c:w val="0.9025"/>
          <c:h val="0.85125"/>
        </c:manualLayout>
      </c:layout>
      <c:barChart>
        <c:barDir val="col"/>
        <c:grouping val="clustered"/>
        <c:varyColors val="0"/>
        <c:ser>
          <c:idx val="3"/>
          <c:order val="0"/>
          <c:tx>
            <c:strRef>
              <c:f>Calculation!$H$83</c:f>
              <c:strCache>
                <c:ptCount val="1"/>
                <c:pt idx="0">
                  <c:v>Households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0"/>
            <c:showBubbleSize val="0"/>
            <c:showCatName val="0"/>
            <c:showSerName val="1"/>
            <c:showPercent val="0"/>
          </c:dLbls>
          <c:cat>
            <c:strLit>
              <c:ptCount val="1"/>
            </c:strLit>
          </c:cat>
          <c:val>
            <c:numRef>
              <c:f>Calculation!$K$83</c:f>
              <c:numCache>
                <c:ptCount val="1"/>
                <c:pt idx="0">
                  <c:v>12018.748131399318</c:v>
                </c:pt>
              </c:numCache>
            </c:numRef>
          </c:val>
        </c:ser>
        <c:ser>
          <c:idx val="0"/>
          <c:order val="1"/>
          <c:tx>
            <c:strRef>
              <c:f>Calculation!$H$84</c:f>
              <c:strCache>
                <c:ptCount val="1"/>
                <c:pt idx="0">
                  <c:v>Tertiary sector</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cat>
            <c:strLit>
              <c:ptCount val="1"/>
            </c:strLit>
          </c:cat>
          <c:val>
            <c:numRef>
              <c:f>Calculation!$K$84</c:f>
              <c:numCache>
                <c:ptCount val="1"/>
                <c:pt idx="0">
                  <c:v>10104.892733153309</c:v>
                </c:pt>
              </c:numCache>
            </c:numRef>
          </c:val>
        </c:ser>
        <c:ser>
          <c:idx val="1"/>
          <c:order val="2"/>
          <c:tx>
            <c:strRef>
              <c:f>Calculation!$H$85</c:f>
              <c:strCache>
                <c:ptCount val="1"/>
                <c:pt idx="0">
                  <c:v>Industry</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dLblPos val="outEnd"/>
            <c:showLegendKey val="0"/>
            <c:showVal val="0"/>
            <c:showBubbleSize val="0"/>
            <c:showCatName val="0"/>
            <c:showSerName val="1"/>
            <c:showPercent val="0"/>
          </c:dLbls>
          <c:cat>
            <c:strLit>
              <c:ptCount val="1"/>
            </c:strLit>
          </c:cat>
          <c:val>
            <c:numRef>
              <c:f>Calculation!$K$85</c:f>
              <c:numCache>
                <c:ptCount val="1"/>
                <c:pt idx="0">
                  <c:v>11268.43219870687</c:v>
                </c:pt>
              </c:numCache>
            </c:numRef>
          </c:val>
        </c:ser>
        <c:ser>
          <c:idx val="2"/>
          <c:order val="3"/>
          <c:tx>
            <c:strRef>
              <c:f>Calculation!$H$86</c:f>
              <c:strCache>
                <c:ptCount val="1"/>
                <c:pt idx="0">
                  <c:v>Transport</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00"/>
              </a:solidFill>
              <a:ln w="3175">
                <a:noFill/>
              </a:ln>
            </c:spPr>
          </c:dPt>
          <c:dLbls>
            <c:numFmt formatCode="General" sourceLinked="1"/>
            <c:dLblPos val="outEnd"/>
            <c:showLegendKey val="0"/>
            <c:showVal val="0"/>
            <c:showBubbleSize val="0"/>
            <c:showCatName val="0"/>
            <c:showSerName val="1"/>
            <c:showPercent val="0"/>
          </c:dLbls>
          <c:cat>
            <c:strLit>
              <c:ptCount val="1"/>
            </c:strLit>
          </c:cat>
          <c:val>
            <c:numRef>
              <c:f>Calculation!$K$86</c:f>
              <c:numCache>
                <c:ptCount val="1"/>
                <c:pt idx="0">
                  <c:v>13989.653344195036</c:v>
                </c:pt>
              </c:numCache>
            </c:numRef>
          </c:val>
        </c:ser>
        <c:overlap val="-10"/>
        <c:gapWidth val="30"/>
        <c:axId val="62854903"/>
        <c:axId val="28823216"/>
      </c:barChart>
      <c:catAx>
        <c:axId val="62854903"/>
        <c:scaling>
          <c:orientation val="minMax"/>
        </c:scaling>
        <c:axPos val="b"/>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28823216"/>
        <c:crosses val="autoZero"/>
        <c:auto val="1"/>
        <c:lblOffset val="100"/>
        <c:tickLblSkip val="1"/>
        <c:noMultiLvlLbl val="0"/>
      </c:catAx>
      <c:valAx>
        <c:axId val="28823216"/>
        <c:scaling>
          <c:orientation val="minMax"/>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Energy consumption (GWh/a)</a:t>
                </a:r>
              </a:p>
            </c:rich>
          </c:tx>
          <c:layout>
            <c:manualLayout>
              <c:xMode val="factor"/>
              <c:yMode val="factor"/>
              <c:x val="-0.025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62854903"/>
        <c:crossesAt val="1"/>
        <c:crossBetween val="between"/>
        <c:dispUnits/>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1325"/>
          <c:w val="0.90175"/>
          <c:h val="0.9617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numFmt formatCode="General" sourceLinked="1"/>
            <c:showLegendKey val="0"/>
            <c:showVal val="0"/>
            <c:showBubbleSize val="0"/>
            <c:showCatName val="0"/>
            <c:showSerName val="0"/>
            <c:showLeaderLines val="0"/>
            <c:showPercent val="0"/>
          </c:dLbls>
          <c:val>
            <c:numRef>
              <c:f>Calculation!$K$78</c:f>
              <c:numCache>
                <c:ptCount val="1"/>
                <c:pt idx="0">
                  <c:v>13989.653344195036</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993300"/>
              </a:solidFill>
              <a:ln w="3175">
                <a:noFill/>
              </a:ln>
            </c:spPr>
          </c:dPt>
          <c:dPt>
            <c:idx val="2"/>
            <c:spPr>
              <a:solidFill>
                <a:srgbClr val="FF6600"/>
              </a:solidFill>
              <a:ln w="3175">
                <a:noFill/>
              </a:ln>
            </c:spPr>
          </c:dPt>
          <c:dPt>
            <c:idx val="3"/>
            <c:spPr>
              <a:solidFill>
                <a:srgbClr val="FF9900"/>
              </a:solidFill>
              <a:ln w="3175">
                <a:noFill/>
              </a:ln>
            </c:spPr>
          </c:dPt>
          <c:dPt>
            <c:idx val="4"/>
            <c:spPr>
              <a:solidFill>
                <a:srgbClr val="99CC00"/>
              </a:solidFill>
              <a:ln w="3175">
                <a:noFill/>
              </a:ln>
            </c:spPr>
          </c:dPt>
          <c:dPt>
            <c:idx val="5"/>
            <c:spPr>
              <a:solidFill>
                <a:srgbClr val="339966"/>
              </a:solidFill>
              <a:ln w="3175">
                <a:noFill/>
              </a:ln>
            </c:spPr>
          </c:dPt>
          <c:dPt>
            <c:idx val="6"/>
            <c:spPr>
              <a:solidFill>
                <a:srgbClr val="008000"/>
              </a:solidFill>
              <a:ln w="3175">
                <a:noFill/>
              </a:ln>
            </c:spPr>
          </c:dPt>
          <c:dPt>
            <c:idx val="7"/>
            <c:spPr>
              <a:solidFill>
                <a:srgbClr val="003300"/>
              </a:solidFill>
              <a:ln w="3175">
                <a:noFill/>
              </a:ln>
            </c:spPr>
          </c:dPt>
          <c:dPt>
            <c:idx val="8"/>
            <c:spPr>
              <a:solidFill>
                <a:srgbClr val="0000FF"/>
              </a:solidFill>
              <a:ln w="3175">
                <a:noFill/>
              </a:ln>
            </c:spPr>
          </c:dPt>
          <c:dPt>
            <c:idx val="9"/>
            <c:spPr>
              <a:solidFill>
                <a:srgbClr val="3366FF"/>
              </a:solidFill>
              <a:ln w="3175">
                <a:noFill/>
              </a:ln>
            </c:spPr>
          </c:dPt>
          <c:dLbls>
            <c:numFmt formatCode="General" sourceLinked="1"/>
            <c:showLegendKey val="0"/>
            <c:showVal val="0"/>
            <c:showBubbleSize val="0"/>
            <c:showCatName val="0"/>
            <c:showSerName val="0"/>
            <c:showLeaderLines val="0"/>
            <c:showPercent val="0"/>
          </c:dLbls>
          <c:cat>
            <c:strRef>
              <c:f>(Calculation!$C$67:$C$70,Calculation!$C$72:$C$77)</c:f>
              <c:strCache>
                <c:ptCount val="10"/>
                <c:pt idx="0">
                  <c:v>Ship</c:v>
                </c:pt>
                <c:pt idx="1">
                  <c:v>Rails</c:v>
                </c:pt>
                <c:pt idx="2">
                  <c:v>Airline</c:v>
                </c:pt>
                <c:pt idx="3">
                  <c:v>Trucks</c:v>
                </c:pt>
                <c:pt idx="4">
                  <c:v>Walk</c:v>
                </c:pt>
                <c:pt idx="5">
                  <c:v>Bicycle</c:v>
                </c:pt>
                <c:pt idx="6">
                  <c:v>Bus</c:v>
                </c:pt>
                <c:pt idx="7">
                  <c:v>Train</c:v>
                </c:pt>
                <c:pt idx="8">
                  <c:v>Airline</c:v>
                </c:pt>
                <c:pt idx="9">
                  <c:v>Car</c:v>
                </c:pt>
              </c:strCache>
            </c:strRef>
          </c:cat>
          <c:val>
            <c:numRef>
              <c:f>(Calculation!$K$67:$K$70,Calculation!$K$72:$K$77)</c:f>
              <c:numCache>
                <c:ptCount val="10"/>
                <c:pt idx="0">
                  <c:v>64.44087349676916</c:v>
                </c:pt>
                <c:pt idx="1">
                  <c:v>200.22699979353274</c:v>
                </c:pt>
                <c:pt idx="2">
                  <c:v>387.1055329341633</c:v>
                </c:pt>
                <c:pt idx="3">
                  <c:v>3241.375936887489</c:v>
                </c:pt>
                <c:pt idx="4">
                  <c:v>0</c:v>
                </c:pt>
                <c:pt idx="5">
                  <c:v>0</c:v>
                </c:pt>
                <c:pt idx="6">
                  <c:v>205.2902112825646</c:v>
                </c:pt>
                <c:pt idx="7">
                  <c:v>514.6064040670566</c:v>
                </c:pt>
                <c:pt idx="8">
                  <c:v>1491.806221450206</c:v>
                </c:pt>
                <c:pt idx="9">
                  <c:v>7884.801164283254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Final energy consumption
Households</a:t>
            </a:r>
          </a:p>
        </c:rich>
      </c:tx>
      <c:layout>
        <c:manualLayout>
          <c:xMode val="factor"/>
          <c:yMode val="factor"/>
          <c:x val="-0.32625"/>
          <c:y val="-0.02025"/>
        </c:manualLayout>
      </c:layout>
      <c:spPr>
        <a:noFill/>
        <a:ln>
          <a:noFill/>
        </a:ln>
      </c:spPr>
    </c:title>
    <c:plotArea>
      <c:layout>
        <c:manualLayout>
          <c:xMode val="edge"/>
          <c:yMode val="edge"/>
          <c:x val="0.358"/>
          <c:y val="0.21975"/>
          <c:w val="0.3475"/>
          <c:h val="0.6622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GWh&quot;" sourceLinked="0"/>
              <c:showLegendKey val="0"/>
              <c:showVal val="1"/>
              <c:showBubbleSize val="0"/>
              <c:showCatName val="0"/>
              <c:showSerName val="0"/>
              <c:showPercent val="0"/>
            </c:dLbl>
            <c:numFmt formatCode="0.0&quot; GWh&quot;" sourceLinked="0"/>
            <c:txPr>
              <a:bodyPr vert="horz" rot="0" anchor="ctr"/>
              <a:lstStyle/>
              <a:p>
                <a:pPr algn="ctr">
                  <a:defRPr lang="en-US" cap="none" sz="800" b="1" i="0" u="none" baseline="0">
                    <a:solidFill>
                      <a:srgbClr val="000000"/>
                    </a:solidFill>
                    <a:latin typeface="Arial"/>
                    <a:ea typeface="Arial"/>
                    <a:cs typeface="Arial"/>
                  </a:defRPr>
                </a:pPr>
              </a:p>
            </c:txPr>
            <c:dLblPos val="bestFit"/>
            <c:showLegendKey val="0"/>
            <c:showVal val="0"/>
            <c:showBubbleSize val="0"/>
            <c:showCatName val="1"/>
            <c:showSerName val="0"/>
            <c:showLeaderLines val="1"/>
            <c:showPercent val="1"/>
          </c:dLbls>
          <c:val>
            <c:numRef>
              <c:f>Calculation!$K$17</c:f>
              <c:numCache>
                <c:ptCount val="1"/>
                <c:pt idx="0">
                  <c:v>12018.748131399318</c:v>
                </c:pt>
              </c:numCache>
            </c:numRef>
          </c:val>
        </c:ser>
      </c:pieChart>
      <c:pieChart>
        <c:varyColors val="1"/>
        <c:ser>
          <c:idx val="0"/>
          <c:order val="0"/>
          <c:tx>
            <c:strRef>
              <c:f>Calculation!$K$6</c:f>
              <c:strCache>
                <c:ptCount val="1"/>
                <c:pt idx="0">
                  <c:v>FE (GWh/a)</c:v>
                </c:pt>
              </c:strCache>
            </c:strRef>
          </c:tx>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0066"/>
              </a:solidFill>
              <a:ln w="3175">
                <a:noFill/>
              </a:ln>
            </c:spPr>
          </c:dPt>
          <c:dPt>
            <c:idx val="1"/>
            <c:spPr>
              <a:solidFill>
                <a:srgbClr val="FFFF00"/>
              </a:solidFill>
              <a:ln w="3175">
                <a:noFill/>
              </a:ln>
            </c:spPr>
          </c:dPt>
          <c:dPt>
            <c:idx val="2"/>
            <c:spPr>
              <a:solidFill>
                <a:srgbClr val="FFCC00"/>
              </a:solidFill>
              <a:ln w="3175">
                <a:noFill/>
              </a:ln>
            </c:spPr>
          </c:dPt>
          <c:dPt>
            <c:idx val="3"/>
            <c:spPr>
              <a:solidFill>
                <a:srgbClr val="800000"/>
              </a:solidFill>
              <a:ln w="3175">
                <a:noFill/>
              </a:ln>
            </c:spPr>
          </c:dPt>
          <c:dPt>
            <c:idx val="4"/>
            <c:spPr>
              <a:solidFill>
                <a:srgbClr val="969696"/>
              </a:solidFill>
              <a:ln w="3175">
                <a:noFill/>
              </a:ln>
            </c:spPr>
          </c:dPt>
          <c:dPt>
            <c:idx val="5"/>
            <c:spPr>
              <a:solidFill>
                <a:srgbClr val="008000"/>
              </a:solidFill>
              <a:ln w="3175">
                <a:noFill/>
              </a:ln>
            </c:spPr>
          </c:dPt>
          <c:dPt>
            <c:idx val="6"/>
            <c:spPr>
              <a:solidFill>
                <a:srgbClr val="99CCFF"/>
              </a:solidFill>
              <a:ln w="3175">
                <a:noFill/>
              </a:ln>
            </c:spPr>
          </c:dPt>
          <c:dPt>
            <c:idx val="7"/>
            <c:explosion val="18"/>
            <c:spPr>
              <a:solidFill>
                <a:srgbClr val="3366FF"/>
              </a:solidFill>
              <a:ln w="3175">
                <a:noFill/>
              </a:ln>
            </c:spPr>
          </c:dPt>
          <c:dLbls>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(Calculation!$H$7:$H$13,Calculation!$H$16)</c:f>
              <c:strCache>
                <c:ptCount val="8"/>
                <c:pt idx="0">
                  <c:v>DH</c:v>
                </c:pt>
                <c:pt idx="1">
                  <c:v>Natural gas</c:v>
                </c:pt>
                <c:pt idx="2">
                  <c:v>LNG</c:v>
                </c:pt>
                <c:pt idx="3">
                  <c:v>Oil</c:v>
                </c:pt>
                <c:pt idx="4">
                  <c:v>Coal</c:v>
                </c:pt>
                <c:pt idx="5">
                  <c:v>Wood</c:v>
                </c:pt>
                <c:pt idx="6">
                  <c:v>Electric heating</c:v>
                </c:pt>
                <c:pt idx="7">
                  <c:v>Electricity</c:v>
                </c:pt>
              </c:strCache>
            </c:strRef>
          </c:cat>
          <c:val>
            <c:numRef>
              <c:f>(Calculation!$K$7:$K$13,Calculation!$K$16)</c:f>
              <c:numCache>
                <c:ptCount val="8"/>
                <c:pt idx="0">
                  <c:v>302.7225255972696</c:v>
                </c:pt>
                <c:pt idx="1">
                  <c:v>4353.058873720138</c:v>
                </c:pt>
                <c:pt idx="2">
                  <c:v>480.77116894197957</c:v>
                </c:pt>
                <c:pt idx="3">
                  <c:v>3399.040341296928</c:v>
                </c:pt>
                <c:pt idx="4">
                  <c:v>88.76825938566553</c:v>
                </c:pt>
                <c:pt idx="5">
                  <c:v>334.5880546075086</c:v>
                </c:pt>
                <c:pt idx="6">
                  <c:v>740.4689078498294</c:v>
                </c:pt>
                <c:pt idx="7">
                  <c:v>2319.33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Final energy consumption
Tertiary sector</a:t>
            </a:r>
          </a:p>
        </c:rich>
      </c:tx>
      <c:layout>
        <c:manualLayout>
          <c:xMode val="factor"/>
          <c:yMode val="factor"/>
          <c:x val="-0.329"/>
          <c:y val="-0.0185"/>
        </c:manualLayout>
      </c:layout>
      <c:spPr>
        <a:noFill/>
        <a:ln>
          <a:noFill/>
        </a:ln>
      </c:spPr>
    </c:title>
    <c:plotArea>
      <c:layout>
        <c:manualLayout>
          <c:xMode val="edge"/>
          <c:yMode val="edge"/>
          <c:x val="0.33775"/>
          <c:y val="0.1735"/>
          <c:w val="0.42025"/>
          <c:h val="0.7262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GWh&quot;" sourceLinked="0"/>
              <c:showLegendKey val="0"/>
              <c:showVal val="1"/>
              <c:showBubbleSize val="0"/>
              <c:showCatName val="0"/>
              <c:showSerName val="0"/>
              <c:showPercent val="0"/>
            </c:dLbl>
            <c:numFmt formatCode="0.0&quot; GWh&quot;"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0"/>
            <c:showPercent val="0"/>
          </c:dLbls>
          <c:val>
            <c:numRef>
              <c:f>Calculation!$K$44</c:f>
              <c:numCache>
                <c:ptCount val="1"/>
                <c:pt idx="0">
                  <c:v>10104.892733153309</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FF6600"/>
              </a:solidFill>
              <a:ln w="3175">
                <a:noFill/>
              </a:ln>
            </c:spPr>
          </c:dPt>
          <c:dPt>
            <c:idx val="2"/>
            <c:spPr>
              <a:solidFill>
                <a:srgbClr val="FF9900"/>
              </a:solidFill>
              <a:ln w="3175">
                <a:noFill/>
              </a:ln>
            </c:spPr>
          </c:dPt>
          <c:dPt>
            <c:idx val="3"/>
            <c:spPr>
              <a:solidFill>
                <a:srgbClr val="FFFF00"/>
              </a:solidFill>
              <a:ln w="3175">
                <a:noFill/>
              </a:ln>
            </c:spPr>
          </c:dPt>
          <c:dPt>
            <c:idx val="4"/>
            <c:spPr>
              <a:solidFill>
                <a:srgbClr val="808000"/>
              </a:solidFill>
              <a:ln w="3175">
                <a:noFill/>
              </a:ln>
            </c:spPr>
          </c:dPt>
          <c:dPt>
            <c:idx val="5"/>
            <c:spPr>
              <a:solidFill>
                <a:srgbClr val="99CC00"/>
              </a:solidFill>
              <a:ln w="3175">
                <a:noFill/>
              </a:ln>
            </c:spPr>
          </c:dPt>
          <c:dPt>
            <c:idx val="6"/>
            <c:spPr>
              <a:solidFill>
                <a:srgbClr val="008000"/>
              </a:solidFill>
              <a:ln w="3175">
                <a:noFill/>
              </a:ln>
            </c:spPr>
          </c:dPt>
          <c:dPt>
            <c:idx val="7"/>
            <c:spPr>
              <a:solidFill>
                <a:srgbClr val="3366FF"/>
              </a:solidFill>
              <a:ln w="3175">
                <a:noFill/>
              </a:ln>
            </c:spPr>
          </c:dPt>
          <c:dPt>
            <c:idx val="8"/>
            <c:spPr>
              <a:solidFill>
                <a:srgbClr val="0000FF"/>
              </a:solidFill>
              <a:ln w="3175">
                <a:noFill/>
              </a:ln>
            </c:spPr>
          </c:dPt>
          <c:dPt>
            <c:idx val="9"/>
            <c:spPr>
              <a:solidFill>
                <a:srgbClr val="333399"/>
              </a:solidFill>
              <a:ln w="3175">
                <a:noFill/>
              </a:ln>
            </c:spPr>
          </c:dPt>
          <c:dLbls>
            <c:dLbl>
              <c:idx val="1"/>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80808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Calculation!$C$21:$C$30</c:f>
              <c:strCache>
                <c:ptCount val="10"/>
                <c:pt idx="0">
                  <c:v>Construction</c:v>
                </c:pt>
                <c:pt idx="1">
                  <c:v>Office</c:v>
                </c:pt>
                <c:pt idx="2">
                  <c:v>Manufacturing</c:v>
                </c:pt>
                <c:pt idx="3">
                  <c:v>Trade</c:v>
                </c:pt>
                <c:pt idx="4">
                  <c:v>Hotels</c:v>
                </c:pt>
                <c:pt idx="5">
                  <c:v>Food industry</c:v>
                </c:pt>
                <c:pt idx="6">
                  <c:v>Agriculture</c:v>
                </c:pt>
                <c:pt idx="7">
                  <c:v>Hospitals</c:v>
                </c:pt>
                <c:pt idx="8">
                  <c:v>Schools</c:v>
                </c:pt>
                <c:pt idx="9">
                  <c:v>Pools</c:v>
                </c:pt>
              </c:strCache>
            </c:strRef>
          </c:cat>
          <c:val>
            <c:numRef>
              <c:f>Calculation!$Q$21:$Q$30</c:f>
              <c:numCache>
                <c:ptCount val="10"/>
                <c:pt idx="0">
                  <c:v>112.8258</c:v>
                </c:pt>
                <c:pt idx="1">
                  <c:v>5117.137</c:v>
                </c:pt>
                <c:pt idx="2">
                  <c:v>1358.14</c:v>
                </c:pt>
                <c:pt idx="3">
                  <c:v>800.2630867399837</c:v>
                </c:pt>
                <c:pt idx="4">
                  <c:v>735.8580445800978</c:v>
                </c:pt>
                <c:pt idx="5">
                  <c:v>37.325516978406036</c:v>
                </c:pt>
                <c:pt idx="6">
                  <c:v>31.189500000000002</c:v>
                </c:pt>
                <c:pt idx="7">
                  <c:v>609.7574866177249</c:v>
                </c:pt>
                <c:pt idx="8">
                  <c:v>805.7707816906002</c:v>
                </c:pt>
                <c:pt idx="9">
                  <c:v>496.6255165464952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Finaly energy consumption
Industry</a:t>
            </a:r>
          </a:p>
        </c:rich>
      </c:tx>
      <c:layout>
        <c:manualLayout>
          <c:xMode val="factor"/>
          <c:yMode val="factor"/>
          <c:x val="-0.31775"/>
          <c:y val="-0.0235"/>
        </c:manualLayout>
      </c:layout>
      <c:spPr>
        <a:noFill/>
        <a:ln>
          <a:noFill/>
        </a:ln>
      </c:spPr>
    </c:title>
    <c:plotArea>
      <c:layout>
        <c:manualLayout>
          <c:xMode val="edge"/>
          <c:yMode val="edge"/>
          <c:x val="0.30725"/>
          <c:y val="0.18"/>
          <c:w val="0.445"/>
          <c:h val="0.69825"/>
        </c:manualLayout>
      </c:layout>
      <c:pieChart>
        <c:varyColors val="1"/>
        <c:ser>
          <c:idx val="1"/>
          <c:order val="1"/>
          <c:tx>
            <c:v>Sum</c:v>
          </c:tx>
          <c:spPr>
            <a:no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0.0&quot; GWh&quot;" sourceLinked="0"/>
              <c:showLegendKey val="0"/>
              <c:showVal val="1"/>
              <c:showBubbleSize val="0"/>
              <c:showCatName val="0"/>
              <c:showSerName val="0"/>
              <c:showPercent val="0"/>
            </c:dLbl>
            <c:numFmt formatCode="0.0&quot; GWh&quot;"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Calculation!$K$62</c:f>
              <c:numCache>
                <c:ptCount val="1"/>
                <c:pt idx="0">
                  <c:v>11268.43219870687</c:v>
                </c:pt>
              </c:numCache>
            </c:numRef>
          </c:val>
        </c:ser>
      </c:pieChar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noFill/>
              </a:ln>
            </c:spPr>
          </c:dPt>
          <c:dPt>
            <c:idx val="1"/>
            <c:spPr>
              <a:solidFill>
                <a:srgbClr val="FF6600"/>
              </a:solidFill>
              <a:ln w="3175">
                <a:noFill/>
              </a:ln>
            </c:spPr>
          </c:dPt>
          <c:dPt>
            <c:idx val="2"/>
            <c:spPr>
              <a:solidFill>
                <a:srgbClr val="FF9900"/>
              </a:solidFill>
              <a:ln w="3175">
                <a:noFill/>
              </a:ln>
            </c:spPr>
          </c:dPt>
          <c:dPt>
            <c:idx val="3"/>
            <c:spPr>
              <a:solidFill>
                <a:srgbClr val="FFFF00"/>
              </a:solidFill>
              <a:ln w="3175">
                <a:noFill/>
              </a:ln>
            </c:spPr>
          </c:dPt>
          <c:dPt>
            <c:idx val="4"/>
            <c:spPr>
              <a:solidFill>
                <a:srgbClr val="808000"/>
              </a:solidFill>
              <a:ln w="3175">
                <a:noFill/>
              </a:ln>
            </c:spPr>
          </c:dPt>
          <c:dPt>
            <c:idx val="5"/>
            <c:spPr>
              <a:solidFill>
                <a:srgbClr val="99CC00"/>
              </a:solidFill>
              <a:ln w="3175">
                <a:noFill/>
              </a:ln>
            </c:spPr>
          </c:dPt>
          <c:dPt>
            <c:idx val="6"/>
            <c:spPr>
              <a:solidFill>
                <a:srgbClr val="008000"/>
              </a:solidFill>
              <a:ln w="3175">
                <a:noFill/>
              </a:ln>
            </c:spPr>
          </c:dPt>
          <c:dPt>
            <c:idx val="7"/>
            <c:spPr>
              <a:solidFill>
                <a:srgbClr val="3366FF"/>
              </a:solidFill>
              <a:ln w="3175">
                <a:noFill/>
              </a:ln>
            </c:spPr>
          </c:dPt>
          <c:dPt>
            <c:idx val="8"/>
            <c:spPr>
              <a:solidFill>
                <a:srgbClr val="0000FF"/>
              </a:solidFill>
              <a:ln w="3175">
                <a:noFill/>
              </a:ln>
            </c:spPr>
          </c:dPt>
          <c:dPt>
            <c:idx val="9"/>
            <c:spPr>
              <a:solidFill>
                <a:srgbClr val="000080"/>
              </a:solidFill>
              <a:ln w="3175">
                <a:noFill/>
              </a:ln>
            </c:spPr>
          </c:dPt>
          <c:dPt>
            <c:idx val="10"/>
            <c:spPr>
              <a:solidFill>
                <a:srgbClr val="333399"/>
              </a:solidFill>
              <a:ln w="3175">
                <a:noFill/>
              </a:ln>
            </c:spPr>
          </c:dPt>
          <c:dPt>
            <c:idx val="11"/>
            <c:spPr>
              <a:solidFill>
                <a:srgbClr val="800080"/>
              </a:solidFill>
              <a:ln w="3175">
                <a:noFill/>
              </a:ln>
            </c:spPr>
          </c:dPt>
          <c:dPt>
            <c:idx val="12"/>
            <c:spPr>
              <a:solidFill>
                <a:srgbClr val="660066"/>
              </a:solidFill>
              <a:ln w="3175">
                <a:noFill/>
              </a:ln>
            </c:spPr>
          </c:dPt>
          <c:dPt>
            <c:idx val="13"/>
            <c:spPr>
              <a:solidFill>
                <a:srgbClr val="993366"/>
              </a:solidFill>
              <a:ln w="3175">
                <a:noFill/>
              </a:ln>
            </c:spPr>
          </c:dPt>
          <c:dLbls>
            <c:numFmt formatCode="0%" sourceLinked="0"/>
            <c:txPr>
              <a:bodyPr vert="horz" rot="0" anchor="ctr"/>
              <a:lstStyle/>
              <a:p>
                <a:pPr algn="ctr">
                  <a:defRPr lang="en-US" cap="none" sz="800" b="0" i="0" u="none" baseline="0">
                    <a:solidFill>
                      <a:srgbClr val="808080"/>
                    </a:solidFill>
                    <a:latin typeface="Arial"/>
                    <a:ea typeface="Arial"/>
                    <a:cs typeface="Arial"/>
                  </a:defRPr>
                </a:pPr>
              </a:p>
            </c:txPr>
            <c:showLegendKey val="0"/>
            <c:showVal val="0"/>
            <c:showBubbleSize val="0"/>
            <c:showCatName val="1"/>
            <c:showSerName val="0"/>
            <c:showLeaderLines val="1"/>
            <c:showPercent val="1"/>
            <c:leaderLines>
              <c:spPr>
                <a:ln w="3175">
                  <a:solidFill>
                    <a:srgbClr val="808080"/>
                  </a:solidFill>
                </a:ln>
              </c:spPr>
            </c:leaderLines>
          </c:dLbls>
          <c:cat>
            <c:strRef>
              <c:f>Calculation!$C$48:$C$61</c:f>
              <c:strCache>
                <c:ptCount val="14"/>
                <c:pt idx="0">
                  <c:v>Mining</c:v>
                </c:pt>
                <c:pt idx="1">
                  <c:v>Food</c:v>
                </c:pt>
                <c:pt idx="2">
                  <c:v>Paper</c:v>
                </c:pt>
                <c:pt idx="3">
                  <c:v>Basic chemistry</c:v>
                </c:pt>
                <c:pt idx="4">
                  <c:v>Other chem.</c:v>
                </c:pt>
                <c:pt idx="5">
                  <c:v>Rubber</c:v>
                </c:pt>
                <c:pt idx="6">
                  <c:v>Glass</c:v>
                </c:pt>
                <c:pt idx="7">
                  <c:v>Stones</c:v>
                </c:pt>
                <c:pt idx="8">
                  <c:v>Iron &amp; steel</c:v>
                </c:pt>
                <c:pt idx="9">
                  <c:v>Non-ferrous metal</c:v>
                </c:pt>
                <c:pt idx="10">
                  <c:v>Metal processing</c:v>
                </c:pt>
                <c:pt idx="11">
                  <c:v>Machine</c:v>
                </c:pt>
                <c:pt idx="12">
                  <c:v>Vehicle</c:v>
                </c:pt>
                <c:pt idx="13">
                  <c:v>Other</c:v>
                </c:pt>
              </c:strCache>
            </c:strRef>
          </c:cat>
          <c:val>
            <c:numRef>
              <c:f>Calculation!$K$48:$K$61</c:f>
              <c:numCache>
                <c:ptCount val="14"/>
                <c:pt idx="0">
                  <c:v>129.96800519447615</c:v>
                </c:pt>
                <c:pt idx="1">
                  <c:v>443.5851174704117</c:v>
                </c:pt>
                <c:pt idx="2">
                  <c:v>611.7344084138487</c:v>
                </c:pt>
                <c:pt idx="3">
                  <c:v>1433.9672307692308</c:v>
                </c:pt>
                <c:pt idx="4">
                  <c:v>91.29993469785573</c:v>
                </c:pt>
                <c:pt idx="5">
                  <c:v>32.83405782497104</c:v>
                </c:pt>
                <c:pt idx="6">
                  <c:v>508.7214766248574</c:v>
                </c:pt>
                <c:pt idx="7">
                  <c:v>1144.4920921071716</c:v>
                </c:pt>
                <c:pt idx="8">
                  <c:v>3062.965304983845</c:v>
                </c:pt>
                <c:pt idx="9">
                  <c:v>773.2215960344612</c:v>
                </c:pt>
                <c:pt idx="10">
                  <c:v>646.4642258171797</c:v>
                </c:pt>
                <c:pt idx="11">
                  <c:v>166.17443093168393</c:v>
                </c:pt>
                <c:pt idx="12">
                  <c:v>1060.1727629781421</c:v>
                </c:pt>
                <c:pt idx="13">
                  <c:v>1162.8315548587354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25"/>
          <c:y val="0.0275"/>
          <c:w val="0.90875"/>
          <c:h val="0.90575"/>
        </c:manualLayout>
      </c:layout>
      <c:scatterChart>
        <c:scatterStyle val="lineMarker"/>
        <c:varyColors val="0"/>
        <c:ser>
          <c:idx val="0"/>
          <c:order val="0"/>
          <c:tx>
            <c:strRef>
              <c:f>Calculation!$H$84</c:f>
              <c:strCache>
                <c:ptCount val="1"/>
                <c:pt idx="0">
                  <c:v>Tertiary sector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008000"/>
              </a:solidFill>
              <a:ln>
                <a:solidFill>
                  <a:srgbClr val="008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Calculation!$K$84</c:f>
              <c:numCache>
                <c:ptCount val="1"/>
                <c:pt idx="0">
                  <c:v>10104.892733153309</c:v>
                </c:pt>
              </c:numCache>
            </c:numRef>
          </c:xVal>
          <c:yVal>
            <c:numRef>
              <c:f>Calculation!$O$84</c:f>
              <c:numCache>
                <c:ptCount val="1"/>
                <c:pt idx="0">
                  <c:v>3471.179705179921</c:v>
                </c:pt>
              </c:numCache>
            </c:numRef>
          </c:yVal>
          <c:smooth val="0"/>
        </c:ser>
        <c:ser>
          <c:idx val="1"/>
          <c:order val="1"/>
          <c:tx>
            <c:strRef>
              <c:f>Calculation!$H$85</c:f>
              <c:strCache>
                <c:ptCount val="1"/>
                <c:pt idx="0">
                  <c:v>Industry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9900"/>
              </a:solidFill>
              <a:ln>
                <a:solidFill>
                  <a:srgbClr val="FF9900"/>
                </a:solidFill>
              </a:ln>
            </c:spPr>
          </c:marker>
          <c:dLbls>
            <c:dLbl>
              <c:idx val="0"/>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a:noFill/>
                </a:ln>
              </c:spPr>
              <c:dLblPos val="l"/>
              <c:showLegendKey val="0"/>
              <c:showVal val="0"/>
              <c:showBubbleSize val="0"/>
              <c:showCatName val="0"/>
              <c:showSerName val="1"/>
              <c:showPercent val="0"/>
            </c:dLbl>
            <c:numFmt formatCode="General" sourceLinked="1"/>
            <c:spPr>
              <a:noFill/>
              <a:ln>
                <a:noFill/>
              </a:ln>
            </c:spPr>
            <c:txPr>
              <a:bodyPr vert="horz" rot="0" anchor="ctr"/>
              <a:lstStyle/>
              <a:p>
                <a:pPr algn="r">
                  <a:defRPr lang="en-US" cap="none" sz="800" b="0" i="0" u="none" baseline="0">
                    <a:solidFill>
                      <a:srgbClr val="000000"/>
                    </a:solidFill>
                    <a:latin typeface="Arial"/>
                    <a:ea typeface="Arial"/>
                    <a:cs typeface="Arial"/>
                  </a:defRPr>
                </a:pPr>
              </a:p>
            </c:txPr>
            <c:dLblPos val="l"/>
            <c:showLegendKey val="0"/>
            <c:showVal val="0"/>
            <c:showBubbleSize val="0"/>
            <c:showCatName val="0"/>
            <c:showSerName val="1"/>
            <c:showPercent val="0"/>
          </c:dLbls>
          <c:xVal>
            <c:numRef>
              <c:f>Calculation!$K$85</c:f>
              <c:numCache>
                <c:ptCount val="1"/>
                <c:pt idx="0">
                  <c:v>11268.43219870687</c:v>
                </c:pt>
              </c:numCache>
            </c:numRef>
          </c:xVal>
          <c:yVal>
            <c:numRef>
              <c:f>Calculation!$O$85</c:f>
              <c:numCache>
                <c:ptCount val="1"/>
                <c:pt idx="0">
                  <c:v>4190.750399515545</c:v>
                </c:pt>
              </c:numCache>
            </c:numRef>
          </c:yVal>
          <c:smooth val="0"/>
        </c:ser>
        <c:ser>
          <c:idx val="2"/>
          <c:order val="2"/>
          <c:tx>
            <c:strRef>
              <c:f>Calculation!$H$86</c:f>
              <c:strCache>
                <c:ptCount val="1"/>
                <c:pt idx="0">
                  <c:v>Transport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8080"/>
              </a:solidFill>
              <a:ln>
                <a:solidFill>
                  <a:srgbClr val="808080"/>
                </a:solidFill>
              </a:ln>
            </c:spPr>
          </c:marker>
          <c:dPt>
            <c:idx val="0"/>
            <c:spPr>
              <a:ln w="3175">
                <a:noFill/>
              </a:ln>
            </c:spPr>
            <c:marker>
              <c:size val="12"/>
              <c:spPr>
                <a:solidFill>
                  <a:srgbClr val="800000"/>
                </a:solidFill>
                <a:ln>
                  <a:solidFill>
                    <a:srgbClr val="800000"/>
                  </a:solidFill>
                </a:ln>
              </c:spPr>
            </c:marker>
          </c:dP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dLblPos val="l"/>
            <c:showLegendKey val="0"/>
            <c:showVal val="0"/>
            <c:showBubbleSize val="0"/>
            <c:showCatName val="0"/>
            <c:showSerName val="1"/>
            <c:showPercent val="0"/>
          </c:dLbls>
          <c:xVal>
            <c:numRef>
              <c:f>Calculation!$K$86</c:f>
              <c:numCache>
                <c:ptCount val="1"/>
                <c:pt idx="0">
                  <c:v>13989.653344195036</c:v>
                </c:pt>
              </c:numCache>
            </c:numRef>
          </c:xVal>
          <c:yVal>
            <c:numRef>
              <c:f>Calculation!$O$86</c:f>
              <c:numCache>
                <c:ptCount val="1"/>
                <c:pt idx="0">
                  <c:v>3587.437438852205</c:v>
                </c:pt>
              </c:numCache>
            </c:numRef>
          </c:yVal>
          <c:smooth val="0"/>
        </c:ser>
        <c:ser>
          <c:idx val="3"/>
          <c:order val="3"/>
          <c:tx>
            <c:strRef>
              <c:f>Calculation!$H$83</c:f>
              <c:strCache>
                <c:ptCount val="1"/>
                <c:pt idx="0">
                  <c:v>Households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3366FF"/>
              </a:solidFill>
              <a:ln>
                <a:solidFill>
                  <a:srgbClr val="3366FF"/>
                </a:solidFill>
              </a:ln>
            </c:spPr>
          </c:marker>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dLblPos val="l"/>
            <c:showLegendKey val="0"/>
            <c:showVal val="0"/>
            <c:showBubbleSize val="0"/>
            <c:showCatName val="0"/>
            <c:showSerName val="1"/>
            <c:showPercent val="0"/>
          </c:dLbls>
          <c:xVal>
            <c:numRef>
              <c:f>Calculation!$K$83</c:f>
              <c:numCache>
                <c:ptCount val="1"/>
                <c:pt idx="0">
                  <c:v>12018.748131399318</c:v>
                </c:pt>
              </c:numCache>
            </c:numRef>
          </c:xVal>
          <c:yVal>
            <c:numRef>
              <c:f>Calculation!$O$83</c:f>
              <c:numCache>
                <c:ptCount val="1"/>
                <c:pt idx="0">
                  <c:v>4610.065934271502</c:v>
                </c:pt>
              </c:numCache>
            </c:numRef>
          </c:yVal>
          <c:smooth val="0"/>
        </c:ser>
        <c:axId val="38102075"/>
        <c:axId val="7374356"/>
      </c:scatterChart>
      <c:valAx>
        <c:axId val="38102075"/>
        <c:scaling>
          <c:orientation val="minMax"/>
          <c:min val="0"/>
        </c:scaling>
        <c:axPos val="b"/>
        <c:title>
          <c:tx>
            <c:rich>
              <a:bodyPr vert="horz" rot="0" anchor="ctr"/>
              <a:lstStyle/>
              <a:p>
                <a:pPr algn="ctr">
                  <a:defRPr/>
                </a:pPr>
                <a:r>
                  <a:rPr lang="en-US" cap="none" sz="800" b="0" i="0" u="none" baseline="0">
                    <a:solidFill>
                      <a:srgbClr val="000000"/>
                    </a:solidFill>
                    <a:latin typeface="Arial"/>
                    <a:ea typeface="Arial"/>
                    <a:cs typeface="Arial"/>
                  </a:rPr>
                  <a:t>Final energy consumption (GWh/a)</a:t>
                </a:r>
              </a:p>
            </c:rich>
          </c:tx>
          <c:layout>
            <c:manualLayout>
              <c:xMode val="factor"/>
              <c:yMode val="factor"/>
              <c:x val="-0.01175"/>
              <c:y val="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374356"/>
        <c:crosses val="autoZero"/>
        <c:crossBetween val="midCat"/>
        <c:dispUnits/>
      </c:valAx>
      <c:valAx>
        <c:axId val="7374356"/>
        <c:scaling>
          <c:orientation val="minMax"/>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Greenhouse gas emissions (1000 t/a)</a:t>
                </a:r>
              </a:p>
            </c:rich>
          </c:tx>
          <c:layout>
            <c:manualLayout>
              <c:xMode val="factor"/>
              <c:yMode val="factor"/>
              <c:x val="-0.021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102075"/>
        <c:crosses val="autoZero"/>
        <c:crossBetween val="midCat"/>
        <c:dispUnits/>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
          <c:y val="0.028"/>
          <c:w val="0.902"/>
          <c:h val="0.84925"/>
        </c:manualLayout>
      </c:layout>
      <c:barChart>
        <c:barDir val="col"/>
        <c:grouping val="clustered"/>
        <c:varyColors val="0"/>
        <c:ser>
          <c:idx val="3"/>
          <c:order val="0"/>
          <c:tx>
            <c:strRef>
              <c:f>Calculation!$H$83</c:f>
              <c:strCache>
                <c:ptCount val="1"/>
                <c:pt idx="0">
                  <c:v>Households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0"/>
            <c:showBubbleSize val="0"/>
            <c:showCatName val="0"/>
            <c:showSerName val="1"/>
            <c:showPercent val="0"/>
          </c:dLbls>
          <c:cat>
            <c:strLit>
              <c:ptCount val="1"/>
            </c:strLit>
          </c:cat>
          <c:val>
            <c:numRef>
              <c:f>Calculation!$O$83</c:f>
              <c:numCache>
                <c:ptCount val="1"/>
                <c:pt idx="0">
                  <c:v>4610.065934271502</c:v>
                </c:pt>
              </c:numCache>
            </c:numRef>
          </c:val>
        </c:ser>
        <c:ser>
          <c:idx val="0"/>
          <c:order val="1"/>
          <c:tx>
            <c:strRef>
              <c:f>Calculation!$H$84</c:f>
              <c:strCache>
                <c:ptCount val="1"/>
                <c:pt idx="0">
                  <c:v>Tertiary sector</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cat>
            <c:strLit>
              <c:ptCount val="1"/>
            </c:strLit>
          </c:cat>
          <c:val>
            <c:numRef>
              <c:f>Calculation!$O$84</c:f>
              <c:numCache>
                <c:ptCount val="1"/>
                <c:pt idx="0">
                  <c:v>3471.179705179921</c:v>
                </c:pt>
              </c:numCache>
            </c:numRef>
          </c:val>
        </c:ser>
        <c:ser>
          <c:idx val="1"/>
          <c:order val="2"/>
          <c:tx>
            <c:strRef>
              <c:f>Calculation!$H$85</c:f>
              <c:strCache>
                <c:ptCount val="1"/>
                <c:pt idx="0">
                  <c:v>Industry</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dLblPos val="outEnd"/>
            <c:showLegendKey val="0"/>
            <c:showVal val="0"/>
            <c:showBubbleSize val="0"/>
            <c:showCatName val="0"/>
            <c:showSerName val="1"/>
            <c:showPercent val="0"/>
          </c:dLbls>
          <c:cat>
            <c:strLit>
              <c:ptCount val="1"/>
            </c:strLit>
          </c:cat>
          <c:val>
            <c:numRef>
              <c:f>Calculation!$O$85</c:f>
              <c:numCache>
                <c:ptCount val="1"/>
                <c:pt idx="0">
                  <c:v>4190.750399515545</c:v>
                </c:pt>
              </c:numCache>
            </c:numRef>
          </c:val>
        </c:ser>
        <c:ser>
          <c:idx val="2"/>
          <c:order val="3"/>
          <c:tx>
            <c:strRef>
              <c:f>Calculation!$H$86</c:f>
              <c:strCache>
                <c:ptCount val="1"/>
                <c:pt idx="0">
                  <c:v>Transport</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00"/>
              </a:solidFill>
              <a:ln w="3175">
                <a:noFill/>
              </a:ln>
            </c:spPr>
          </c:dPt>
          <c:dLbls>
            <c:numFmt formatCode="General" sourceLinked="1"/>
            <c:showLegendKey val="0"/>
            <c:showVal val="0"/>
            <c:showBubbleSize val="0"/>
            <c:showCatName val="0"/>
            <c:showSerName val="1"/>
            <c:showPercent val="0"/>
          </c:dLbls>
          <c:cat>
            <c:strLit>
              <c:ptCount val="1"/>
            </c:strLit>
          </c:cat>
          <c:val>
            <c:numRef>
              <c:f>Calculation!$O$86</c:f>
              <c:numCache>
                <c:ptCount val="1"/>
                <c:pt idx="0">
                  <c:v>3587.437438852205</c:v>
                </c:pt>
              </c:numCache>
            </c:numRef>
          </c:val>
        </c:ser>
        <c:overlap val="-10"/>
        <c:gapWidth val="30"/>
        <c:axId val="66369205"/>
        <c:axId val="60451934"/>
      </c:barChart>
      <c:catAx>
        <c:axId val="66369205"/>
        <c:scaling>
          <c:orientation val="minMax"/>
        </c:scaling>
        <c:axPos val="b"/>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60451934"/>
        <c:crosses val="autoZero"/>
        <c:auto val="1"/>
        <c:lblOffset val="100"/>
        <c:tickLblSkip val="1"/>
        <c:noMultiLvlLbl val="0"/>
      </c:catAx>
      <c:valAx>
        <c:axId val="60451934"/>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Greenhouse gas emissions (1000 t/a)</a:t>
                </a:r>
              </a:p>
            </c:rich>
          </c:tx>
          <c:layout>
            <c:manualLayout>
              <c:xMode val="factor"/>
              <c:yMode val="factor"/>
              <c:x val="-0.020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66369205"/>
        <c:crossesAt val="1"/>
        <c:crossBetween val="between"/>
        <c:dispUnits/>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75"/>
          <c:y val="0.02675"/>
          <c:w val="0.90325"/>
          <c:h val="0.85075"/>
        </c:manualLayout>
      </c:layout>
      <c:barChart>
        <c:barDir val="col"/>
        <c:grouping val="clustered"/>
        <c:varyColors val="0"/>
        <c:ser>
          <c:idx val="3"/>
          <c:order val="0"/>
          <c:tx>
            <c:strRef>
              <c:f>Calculation!$H$83</c:f>
              <c:strCache>
                <c:ptCount val="1"/>
                <c:pt idx="0">
                  <c:v>Households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0"/>
            <c:showBubbleSize val="0"/>
            <c:showCatName val="0"/>
            <c:showSerName val="1"/>
            <c:showPercent val="0"/>
          </c:dLbls>
          <c:cat>
            <c:strLit>
              <c:ptCount val="1"/>
            </c:strLit>
          </c:cat>
          <c:val>
            <c:numRef>
              <c:f>Calculation!$K$83</c:f>
              <c:numCache>
                <c:ptCount val="1"/>
                <c:pt idx="0">
                  <c:v>12018.748131399318</c:v>
                </c:pt>
              </c:numCache>
            </c:numRef>
          </c:val>
        </c:ser>
        <c:ser>
          <c:idx val="0"/>
          <c:order val="1"/>
          <c:tx>
            <c:strRef>
              <c:f>Calculation!$H$84</c:f>
              <c:strCache>
                <c:ptCount val="1"/>
                <c:pt idx="0">
                  <c:v>Tertiary sector</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cat>
            <c:strLit>
              <c:ptCount val="1"/>
            </c:strLit>
          </c:cat>
          <c:val>
            <c:numRef>
              <c:f>Calculation!$K$84</c:f>
              <c:numCache>
                <c:ptCount val="1"/>
                <c:pt idx="0">
                  <c:v>10104.892733153309</c:v>
                </c:pt>
              </c:numCache>
            </c:numRef>
          </c:val>
        </c:ser>
        <c:ser>
          <c:idx val="1"/>
          <c:order val="2"/>
          <c:tx>
            <c:strRef>
              <c:f>Calculation!$H$85</c:f>
              <c:strCache>
                <c:ptCount val="1"/>
                <c:pt idx="0">
                  <c:v>Industry</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dLblPos val="outEnd"/>
            <c:showLegendKey val="0"/>
            <c:showVal val="0"/>
            <c:showBubbleSize val="0"/>
            <c:showCatName val="0"/>
            <c:showSerName val="1"/>
            <c:showPercent val="0"/>
          </c:dLbls>
          <c:cat>
            <c:strLit>
              <c:ptCount val="1"/>
            </c:strLit>
          </c:cat>
          <c:val>
            <c:numRef>
              <c:f>Calculation!$K$85</c:f>
              <c:numCache>
                <c:ptCount val="1"/>
                <c:pt idx="0">
                  <c:v>11268.43219870687</c:v>
                </c:pt>
              </c:numCache>
            </c:numRef>
          </c:val>
        </c:ser>
        <c:ser>
          <c:idx val="2"/>
          <c:order val="3"/>
          <c:tx>
            <c:strRef>
              <c:f>Calculation!$H$86</c:f>
              <c:strCache>
                <c:ptCount val="1"/>
                <c:pt idx="0">
                  <c:v>Transport</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00"/>
              </a:solidFill>
              <a:ln w="3175">
                <a:noFill/>
              </a:ln>
            </c:spPr>
          </c:dPt>
          <c:dLbls>
            <c:numFmt formatCode="General" sourceLinked="1"/>
            <c:dLblPos val="outEnd"/>
            <c:showLegendKey val="0"/>
            <c:showVal val="0"/>
            <c:showBubbleSize val="0"/>
            <c:showCatName val="0"/>
            <c:showSerName val="1"/>
            <c:showPercent val="0"/>
          </c:dLbls>
          <c:cat>
            <c:strLit>
              <c:ptCount val="1"/>
            </c:strLit>
          </c:cat>
          <c:val>
            <c:numRef>
              <c:f>Calculation!$K$86</c:f>
              <c:numCache>
                <c:ptCount val="1"/>
                <c:pt idx="0">
                  <c:v>13989.653344195036</c:v>
                </c:pt>
              </c:numCache>
            </c:numRef>
          </c:val>
        </c:ser>
        <c:overlap val="-10"/>
        <c:gapWidth val="30"/>
        <c:axId val="7196495"/>
        <c:axId val="64768456"/>
      </c:barChart>
      <c:catAx>
        <c:axId val="7196495"/>
        <c:scaling>
          <c:orientation val="minMax"/>
        </c:scaling>
        <c:axPos val="b"/>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64768456"/>
        <c:crosses val="autoZero"/>
        <c:auto val="1"/>
        <c:lblOffset val="100"/>
        <c:tickLblSkip val="1"/>
        <c:noMultiLvlLbl val="0"/>
      </c:catAx>
      <c:valAx>
        <c:axId val="64768456"/>
        <c:scaling>
          <c:orientation val="minMax"/>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Energy consumption (GWh/a)</a:t>
                </a:r>
              </a:p>
            </c:rich>
          </c:tx>
          <c:layout>
            <c:manualLayout>
              <c:xMode val="factor"/>
              <c:yMode val="factor"/>
              <c:x val="-0.025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7196495"/>
        <c:crossesAt val="1"/>
        <c:crossBetween val="between"/>
        <c:dispUnits/>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6257925</xdr:colOff>
      <xdr:row>1</xdr:row>
      <xdr:rowOff>57150</xdr:rowOff>
    </xdr:from>
    <xdr:to>
      <xdr:col>2</xdr:col>
      <xdr:colOff>7038975</xdr:colOff>
      <xdr:row>5</xdr:row>
      <xdr:rowOff>85725</xdr:rowOff>
    </xdr:to>
    <xdr:graphicFrame>
      <xdr:nvGraphicFramePr>
        <xdr:cNvPr id="1" name="Diagramm 1"/>
        <xdr:cNvGraphicFramePr/>
      </xdr:nvGraphicFramePr>
      <xdr:xfrm>
        <a:off x="6543675" y="247650"/>
        <a:ext cx="781050" cy="742950"/>
      </xdr:xfrm>
      <a:graphic>
        <a:graphicData uri="http://schemas.openxmlformats.org/drawingml/2006/chart">
          <c:chart xmlns:c="http://schemas.openxmlformats.org/drawingml/2006/chart" r:id="rId1"/>
        </a:graphicData>
      </a:graphic>
    </xdr:graphicFrame>
    <xdr:clientData/>
  </xdr:twoCellAnchor>
  <xdr:twoCellAnchor>
    <xdr:from>
      <xdr:col>2</xdr:col>
      <xdr:colOff>5410200</xdr:colOff>
      <xdr:row>1</xdr:row>
      <xdr:rowOff>47625</xdr:rowOff>
    </xdr:from>
    <xdr:to>
      <xdr:col>2</xdr:col>
      <xdr:colOff>6219825</xdr:colOff>
      <xdr:row>5</xdr:row>
      <xdr:rowOff>133350</xdr:rowOff>
    </xdr:to>
    <xdr:graphicFrame>
      <xdr:nvGraphicFramePr>
        <xdr:cNvPr id="2" name="Diagramm 2"/>
        <xdr:cNvGraphicFramePr/>
      </xdr:nvGraphicFramePr>
      <xdr:xfrm>
        <a:off x="5695950" y="238125"/>
        <a:ext cx="809625" cy="800100"/>
      </xdr:xfrm>
      <a:graphic>
        <a:graphicData uri="http://schemas.openxmlformats.org/drawingml/2006/chart">
          <c:chart xmlns:c="http://schemas.openxmlformats.org/drawingml/2006/chart" r:id="rId2"/>
        </a:graphicData>
      </a:graphic>
    </xdr:graphicFrame>
    <xdr:clientData/>
  </xdr:twoCellAnchor>
  <xdr:twoCellAnchor>
    <xdr:from>
      <xdr:col>2</xdr:col>
      <xdr:colOff>4514850</xdr:colOff>
      <xdr:row>1</xdr:row>
      <xdr:rowOff>47625</xdr:rowOff>
    </xdr:from>
    <xdr:to>
      <xdr:col>2</xdr:col>
      <xdr:colOff>5362575</xdr:colOff>
      <xdr:row>5</xdr:row>
      <xdr:rowOff>133350</xdr:rowOff>
    </xdr:to>
    <xdr:graphicFrame>
      <xdr:nvGraphicFramePr>
        <xdr:cNvPr id="3" name="Diagramm 3"/>
        <xdr:cNvGraphicFramePr/>
      </xdr:nvGraphicFramePr>
      <xdr:xfrm>
        <a:off x="4800600" y="238125"/>
        <a:ext cx="847725" cy="8001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28575</xdr:rowOff>
    </xdr:from>
    <xdr:to>
      <xdr:col>14</xdr:col>
      <xdr:colOff>723900</xdr:colOff>
      <xdr:row>18</xdr:row>
      <xdr:rowOff>171450</xdr:rowOff>
    </xdr:to>
    <xdr:graphicFrame>
      <xdr:nvGraphicFramePr>
        <xdr:cNvPr id="1" name="Diagramm 1"/>
        <xdr:cNvGraphicFramePr/>
      </xdr:nvGraphicFramePr>
      <xdr:xfrm>
        <a:off x="6134100" y="1123950"/>
        <a:ext cx="4552950" cy="24288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19</xdr:row>
      <xdr:rowOff>47625</xdr:rowOff>
    </xdr:from>
    <xdr:to>
      <xdr:col>14</xdr:col>
      <xdr:colOff>723900</xdr:colOff>
      <xdr:row>32</xdr:row>
      <xdr:rowOff>180975</xdr:rowOff>
    </xdr:to>
    <xdr:graphicFrame>
      <xdr:nvGraphicFramePr>
        <xdr:cNvPr id="2" name="Diagramm 3"/>
        <xdr:cNvGraphicFramePr/>
      </xdr:nvGraphicFramePr>
      <xdr:xfrm>
        <a:off x="6143625" y="3619500"/>
        <a:ext cx="4543425" cy="26670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33</xdr:row>
      <xdr:rowOff>76200</xdr:rowOff>
    </xdr:from>
    <xdr:to>
      <xdr:col>14</xdr:col>
      <xdr:colOff>733425</xdr:colOff>
      <xdr:row>48</xdr:row>
      <xdr:rowOff>152400</xdr:rowOff>
    </xdr:to>
    <xdr:graphicFrame>
      <xdr:nvGraphicFramePr>
        <xdr:cNvPr id="3" name="Diagramm 4"/>
        <xdr:cNvGraphicFramePr/>
      </xdr:nvGraphicFramePr>
      <xdr:xfrm>
        <a:off x="6143625" y="6372225"/>
        <a:ext cx="4552950" cy="2933700"/>
      </xdr:xfrm>
      <a:graphic>
        <a:graphicData uri="http://schemas.openxmlformats.org/drawingml/2006/chart">
          <c:chart xmlns:c="http://schemas.openxmlformats.org/drawingml/2006/chart" r:id="rId3"/>
        </a:graphicData>
      </a:graphic>
    </xdr:graphicFrame>
    <xdr:clientData/>
  </xdr:twoCellAnchor>
  <xdr:oneCellAnchor>
    <xdr:from>
      <xdr:col>10</xdr:col>
      <xdr:colOff>171450</xdr:colOff>
      <xdr:row>72</xdr:row>
      <xdr:rowOff>9525</xdr:rowOff>
    </xdr:from>
    <xdr:ext cx="3419475" cy="3457575"/>
    <xdr:graphicFrame>
      <xdr:nvGraphicFramePr>
        <xdr:cNvPr id="4" name="Diagramm 13"/>
        <xdr:cNvGraphicFramePr/>
      </xdr:nvGraphicFramePr>
      <xdr:xfrm>
        <a:off x="7086600" y="13916025"/>
        <a:ext cx="3419475" cy="3457575"/>
      </xdr:xfrm>
      <a:graphic>
        <a:graphicData uri="http://schemas.openxmlformats.org/drawingml/2006/chart">
          <c:chart xmlns:c="http://schemas.openxmlformats.org/drawingml/2006/chart" r:id="rId4"/>
        </a:graphicData>
      </a:graphic>
    </xdr:graphicFrame>
    <xdr:clientData/>
  </xdr:oneCellAnchor>
  <xdr:oneCellAnchor>
    <xdr:from>
      <xdr:col>4</xdr:col>
      <xdr:colOff>1038225</xdr:colOff>
      <xdr:row>72</xdr:row>
      <xdr:rowOff>28575</xdr:rowOff>
    </xdr:from>
    <xdr:ext cx="3314700" cy="3467100"/>
    <xdr:graphicFrame>
      <xdr:nvGraphicFramePr>
        <xdr:cNvPr id="5" name="Diagramm 14"/>
        <xdr:cNvGraphicFramePr/>
      </xdr:nvGraphicFramePr>
      <xdr:xfrm>
        <a:off x="3771900" y="13935075"/>
        <a:ext cx="3314700" cy="3467100"/>
      </xdr:xfrm>
      <a:graphic>
        <a:graphicData uri="http://schemas.openxmlformats.org/drawingml/2006/chart">
          <c:chart xmlns:c="http://schemas.openxmlformats.org/drawingml/2006/chart" r:id="rId5"/>
        </a:graphicData>
      </a:graphic>
    </xdr:graphicFrame>
    <xdr:clientData/>
  </xdr:oneCellAnchor>
  <xdr:oneCellAnchor>
    <xdr:from>
      <xdr:col>2</xdr:col>
      <xdr:colOff>57150</xdr:colOff>
      <xdr:row>72</xdr:row>
      <xdr:rowOff>28575</xdr:rowOff>
    </xdr:from>
    <xdr:ext cx="3324225" cy="3476625"/>
    <xdr:graphicFrame>
      <xdr:nvGraphicFramePr>
        <xdr:cNvPr id="6" name="Diagramm 15"/>
        <xdr:cNvGraphicFramePr/>
      </xdr:nvGraphicFramePr>
      <xdr:xfrm>
        <a:off x="342900" y="13935075"/>
        <a:ext cx="3324225" cy="3476625"/>
      </xdr:xfrm>
      <a:graphic>
        <a:graphicData uri="http://schemas.openxmlformats.org/drawingml/2006/chart">
          <c:chart xmlns:c="http://schemas.openxmlformats.org/drawingml/2006/chart" r:id="rId6"/>
        </a:graphicData>
      </a:graphic>
    </xdr:graphicFrame>
    <xdr:clientData/>
  </xdr:oneCellAnchor>
  <xdr:oneCellAnchor>
    <xdr:from>
      <xdr:col>9</xdr:col>
      <xdr:colOff>0</xdr:colOff>
      <xdr:row>51</xdr:row>
      <xdr:rowOff>57150</xdr:rowOff>
    </xdr:from>
    <xdr:ext cx="4543425" cy="2686050"/>
    <xdr:graphicFrame>
      <xdr:nvGraphicFramePr>
        <xdr:cNvPr id="7" name="Diagramm 16"/>
        <xdr:cNvGraphicFramePr/>
      </xdr:nvGraphicFramePr>
      <xdr:xfrm>
        <a:off x="6143625" y="9782175"/>
        <a:ext cx="4543425" cy="2686050"/>
      </xdr:xfrm>
      <a:graphic>
        <a:graphicData uri="http://schemas.openxmlformats.org/drawingml/2006/chart">
          <c:chart xmlns:c="http://schemas.openxmlformats.org/drawingml/2006/chart" r:id="rId7"/>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72</xdr:row>
      <xdr:rowOff>95250</xdr:rowOff>
    </xdr:from>
    <xdr:to>
      <xdr:col>6</xdr:col>
      <xdr:colOff>219075</xdr:colOff>
      <xdr:row>87</xdr:row>
      <xdr:rowOff>95250</xdr:rowOff>
    </xdr:to>
    <xdr:graphicFrame>
      <xdr:nvGraphicFramePr>
        <xdr:cNvPr id="1" name="Diagramm 9"/>
        <xdr:cNvGraphicFramePr/>
      </xdr:nvGraphicFramePr>
      <xdr:xfrm>
        <a:off x="352425" y="14116050"/>
        <a:ext cx="4543425" cy="2428875"/>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88</xdr:row>
      <xdr:rowOff>0</xdr:rowOff>
    </xdr:from>
    <xdr:to>
      <xdr:col>6</xdr:col>
      <xdr:colOff>219075</xdr:colOff>
      <xdr:row>104</xdr:row>
      <xdr:rowOff>47625</xdr:rowOff>
    </xdr:to>
    <xdr:graphicFrame>
      <xdr:nvGraphicFramePr>
        <xdr:cNvPr id="2" name="Diagramm 10"/>
        <xdr:cNvGraphicFramePr/>
      </xdr:nvGraphicFramePr>
      <xdr:xfrm>
        <a:off x="361950" y="16611600"/>
        <a:ext cx="4533900" cy="2667000"/>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109</xdr:row>
      <xdr:rowOff>57150</xdr:rowOff>
    </xdr:from>
    <xdr:to>
      <xdr:col>6</xdr:col>
      <xdr:colOff>228600</xdr:colOff>
      <xdr:row>127</xdr:row>
      <xdr:rowOff>76200</xdr:rowOff>
    </xdr:to>
    <xdr:graphicFrame>
      <xdr:nvGraphicFramePr>
        <xdr:cNvPr id="3" name="Diagramm 11"/>
        <xdr:cNvGraphicFramePr/>
      </xdr:nvGraphicFramePr>
      <xdr:xfrm>
        <a:off x="361950" y="20202525"/>
        <a:ext cx="4543425" cy="2933700"/>
      </xdr:xfrm>
      <a:graphic>
        <a:graphicData uri="http://schemas.openxmlformats.org/drawingml/2006/chart">
          <c:chart xmlns:c="http://schemas.openxmlformats.org/drawingml/2006/chart" r:id="rId3"/>
        </a:graphicData>
      </a:graphic>
    </xdr:graphicFrame>
    <xdr:clientData/>
  </xdr:twoCellAnchor>
  <xdr:oneCellAnchor>
    <xdr:from>
      <xdr:col>2</xdr:col>
      <xdr:colOff>76200</xdr:colOff>
      <xdr:row>130</xdr:row>
      <xdr:rowOff>38100</xdr:rowOff>
    </xdr:from>
    <xdr:ext cx="4543425" cy="3019425"/>
    <xdr:graphicFrame>
      <xdr:nvGraphicFramePr>
        <xdr:cNvPr id="4" name="Diagramm 12"/>
        <xdr:cNvGraphicFramePr/>
      </xdr:nvGraphicFramePr>
      <xdr:xfrm>
        <a:off x="361950" y="23583900"/>
        <a:ext cx="4543425" cy="3019425"/>
      </xdr:xfrm>
      <a:graphic>
        <a:graphicData uri="http://schemas.openxmlformats.org/drawingml/2006/chart">
          <c:chart xmlns:c="http://schemas.openxmlformats.org/drawingml/2006/chart" r:id="rId4"/>
        </a:graphicData>
      </a:graphic>
    </xdr:graphicFrame>
    <xdr:clientData/>
  </xdr:oneCellAnchor>
  <xdr:twoCellAnchor>
    <xdr:from>
      <xdr:col>7</xdr:col>
      <xdr:colOff>66675</xdr:colOff>
      <xdr:row>72</xdr:row>
      <xdr:rowOff>142875</xdr:rowOff>
    </xdr:from>
    <xdr:to>
      <xdr:col>13</xdr:col>
      <xdr:colOff>485775</xdr:colOff>
      <xdr:row>87</xdr:row>
      <xdr:rowOff>142875</xdr:rowOff>
    </xdr:to>
    <xdr:graphicFrame>
      <xdr:nvGraphicFramePr>
        <xdr:cNvPr id="5" name="Diagramm 13"/>
        <xdr:cNvGraphicFramePr/>
      </xdr:nvGraphicFramePr>
      <xdr:xfrm>
        <a:off x="5505450" y="14163675"/>
        <a:ext cx="4543425" cy="2428875"/>
      </xdr:xfrm>
      <a:graphic>
        <a:graphicData uri="http://schemas.openxmlformats.org/drawingml/2006/chart">
          <c:chart xmlns:c="http://schemas.openxmlformats.org/drawingml/2006/chart" r:id="rId5"/>
        </a:graphicData>
      </a:graphic>
    </xdr:graphicFrame>
    <xdr:clientData/>
  </xdr:twoCellAnchor>
  <xdr:twoCellAnchor>
    <xdr:from>
      <xdr:col>7</xdr:col>
      <xdr:colOff>76200</xdr:colOff>
      <xdr:row>88</xdr:row>
      <xdr:rowOff>57150</xdr:rowOff>
    </xdr:from>
    <xdr:to>
      <xdr:col>13</xdr:col>
      <xdr:colOff>485775</xdr:colOff>
      <xdr:row>104</xdr:row>
      <xdr:rowOff>104775</xdr:rowOff>
    </xdr:to>
    <xdr:graphicFrame>
      <xdr:nvGraphicFramePr>
        <xdr:cNvPr id="6" name="Diagramm 14"/>
        <xdr:cNvGraphicFramePr/>
      </xdr:nvGraphicFramePr>
      <xdr:xfrm>
        <a:off x="5514975" y="16668750"/>
        <a:ext cx="4533900" cy="2667000"/>
      </xdr:xfrm>
      <a:graphic>
        <a:graphicData uri="http://schemas.openxmlformats.org/drawingml/2006/chart">
          <c:chart xmlns:c="http://schemas.openxmlformats.org/drawingml/2006/chart" r:id="rId6"/>
        </a:graphicData>
      </a:graphic>
    </xdr:graphicFrame>
    <xdr:clientData/>
  </xdr:twoCellAnchor>
  <xdr:twoCellAnchor>
    <xdr:from>
      <xdr:col>7</xdr:col>
      <xdr:colOff>76200</xdr:colOff>
      <xdr:row>109</xdr:row>
      <xdr:rowOff>104775</xdr:rowOff>
    </xdr:from>
    <xdr:to>
      <xdr:col>13</xdr:col>
      <xdr:colOff>495300</xdr:colOff>
      <xdr:row>127</xdr:row>
      <xdr:rowOff>123825</xdr:rowOff>
    </xdr:to>
    <xdr:graphicFrame>
      <xdr:nvGraphicFramePr>
        <xdr:cNvPr id="7" name="Diagramm 15"/>
        <xdr:cNvGraphicFramePr/>
      </xdr:nvGraphicFramePr>
      <xdr:xfrm>
        <a:off x="5514975" y="20250150"/>
        <a:ext cx="4543425" cy="2933700"/>
      </xdr:xfrm>
      <a:graphic>
        <a:graphicData uri="http://schemas.openxmlformats.org/drawingml/2006/chart">
          <c:chart xmlns:c="http://schemas.openxmlformats.org/drawingml/2006/chart" r:id="rId7"/>
        </a:graphicData>
      </a:graphic>
    </xdr:graphicFrame>
    <xdr:clientData/>
  </xdr:twoCellAnchor>
  <xdr:oneCellAnchor>
    <xdr:from>
      <xdr:col>7</xdr:col>
      <xdr:colOff>76200</xdr:colOff>
      <xdr:row>130</xdr:row>
      <xdr:rowOff>19050</xdr:rowOff>
    </xdr:from>
    <xdr:ext cx="4543425" cy="3038475"/>
    <xdr:graphicFrame>
      <xdr:nvGraphicFramePr>
        <xdr:cNvPr id="8" name="Diagramm 16"/>
        <xdr:cNvGraphicFramePr/>
      </xdr:nvGraphicFramePr>
      <xdr:xfrm>
        <a:off x="5514975" y="23564850"/>
        <a:ext cx="4543425" cy="3038475"/>
      </xdr:xfrm>
      <a:graphic>
        <a:graphicData uri="http://schemas.openxmlformats.org/drawingml/2006/chart">
          <c:chart xmlns:c="http://schemas.openxmlformats.org/drawingml/2006/chart" r:id="rId8"/>
        </a:graphicData>
      </a:graphic>
    </xdr:graphicFrame>
    <xdr:clientData/>
  </xdr:oneCellAnchor>
  <xdr:twoCellAnchor>
    <xdr:from>
      <xdr:col>2</xdr:col>
      <xdr:colOff>38100</xdr:colOff>
      <xdr:row>4</xdr:row>
      <xdr:rowOff>57150</xdr:rowOff>
    </xdr:from>
    <xdr:to>
      <xdr:col>14</xdr:col>
      <xdr:colOff>733425</xdr:colOff>
      <xdr:row>44</xdr:row>
      <xdr:rowOff>133350</xdr:rowOff>
    </xdr:to>
    <xdr:graphicFrame>
      <xdr:nvGraphicFramePr>
        <xdr:cNvPr id="9" name="Diagramm 17"/>
        <xdr:cNvGraphicFramePr/>
      </xdr:nvGraphicFramePr>
      <xdr:xfrm>
        <a:off x="323850" y="771525"/>
        <a:ext cx="10734675" cy="7753350"/>
      </xdr:xfrm>
      <a:graphic>
        <a:graphicData uri="http://schemas.openxmlformats.org/drawingml/2006/chart">
          <c:chart xmlns:c="http://schemas.openxmlformats.org/drawingml/2006/chart" r:id="rId9"/>
        </a:graphicData>
      </a:graphic>
    </xdr:graphicFrame>
    <xdr:clientData/>
  </xdr:twoCellAnchor>
  <xdr:oneCellAnchor>
    <xdr:from>
      <xdr:col>9</xdr:col>
      <xdr:colOff>723900</xdr:colOff>
      <xdr:row>49</xdr:row>
      <xdr:rowOff>142875</xdr:rowOff>
    </xdr:from>
    <xdr:ext cx="3419475" cy="3457575"/>
    <xdr:graphicFrame>
      <xdr:nvGraphicFramePr>
        <xdr:cNvPr id="10" name="Diagramm 18"/>
        <xdr:cNvGraphicFramePr/>
      </xdr:nvGraphicFramePr>
      <xdr:xfrm>
        <a:off x="7239000" y="9534525"/>
        <a:ext cx="3419475" cy="3457575"/>
      </xdr:xfrm>
      <a:graphic>
        <a:graphicData uri="http://schemas.openxmlformats.org/drawingml/2006/chart">
          <c:chart xmlns:c="http://schemas.openxmlformats.org/drawingml/2006/chart" r:id="rId10"/>
        </a:graphicData>
      </a:graphic>
    </xdr:graphicFrame>
    <xdr:clientData/>
  </xdr:oneCellAnchor>
  <xdr:oneCellAnchor>
    <xdr:from>
      <xdr:col>5</xdr:col>
      <xdr:colOff>9525</xdr:colOff>
      <xdr:row>49</xdr:row>
      <xdr:rowOff>152400</xdr:rowOff>
    </xdr:from>
    <xdr:ext cx="3314700" cy="3467100"/>
    <xdr:graphicFrame>
      <xdr:nvGraphicFramePr>
        <xdr:cNvPr id="11" name="Diagramm 19"/>
        <xdr:cNvGraphicFramePr/>
      </xdr:nvGraphicFramePr>
      <xdr:xfrm>
        <a:off x="3924300" y="9544050"/>
        <a:ext cx="3314700" cy="3467100"/>
      </xdr:xfrm>
      <a:graphic>
        <a:graphicData uri="http://schemas.openxmlformats.org/drawingml/2006/chart">
          <c:chart xmlns:c="http://schemas.openxmlformats.org/drawingml/2006/chart" r:id="rId11"/>
        </a:graphicData>
      </a:graphic>
    </xdr:graphicFrame>
    <xdr:clientData/>
  </xdr:oneCellAnchor>
  <xdr:oneCellAnchor>
    <xdr:from>
      <xdr:col>2</xdr:col>
      <xdr:colOff>209550</xdr:colOff>
      <xdr:row>49</xdr:row>
      <xdr:rowOff>152400</xdr:rowOff>
    </xdr:from>
    <xdr:ext cx="3324225" cy="3476625"/>
    <xdr:graphicFrame>
      <xdr:nvGraphicFramePr>
        <xdr:cNvPr id="12" name="Diagramm 20"/>
        <xdr:cNvGraphicFramePr/>
      </xdr:nvGraphicFramePr>
      <xdr:xfrm>
        <a:off x="495300" y="9544050"/>
        <a:ext cx="3324225" cy="3476625"/>
      </xdr:xfrm>
      <a:graphic>
        <a:graphicData uri="http://schemas.openxmlformats.org/drawingml/2006/chart">
          <c:chart xmlns:c="http://schemas.openxmlformats.org/drawingml/2006/chart" r:id="rId12"/>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B2:D14"/>
  <sheetViews>
    <sheetView tabSelected="1" zoomScaleSheetLayoutView="145" zoomScalePageLayoutView="0" workbookViewId="0" topLeftCell="A1">
      <selection activeCell="A1" sqref="A1"/>
    </sheetView>
  </sheetViews>
  <sheetFormatPr defaultColWidth="11.421875" defaultRowHeight="12.75"/>
  <cols>
    <col min="1" max="1" width="2.8515625" style="10" customWidth="1"/>
    <col min="2" max="2" width="1.421875" style="10" customWidth="1"/>
    <col min="3" max="3" width="110.00390625" style="10" customWidth="1"/>
    <col min="4" max="4" width="1.421875" style="10" customWidth="1"/>
    <col min="5" max="16384" width="11.421875" style="10" customWidth="1"/>
  </cols>
  <sheetData>
    <row r="1" ht="15" customHeight="1"/>
    <row r="2" spans="2:4" ht="7.5" customHeight="1">
      <c r="B2" s="117"/>
      <c r="C2" s="118"/>
      <c r="D2" s="119"/>
    </row>
    <row r="3" spans="2:4" ht="18.75">
      <c r="B3" s="105"/>
      <c r="C3" s="28" t="s">
        <v>5</v>
      </c>
      <c r="D3" s="104"/>
    </row>
    <row r="4" spans="2:4" ht="15" customHeight="1">
      <c r="B4" s="105"/>
      <c r="C4" s="1" t="s">
        <v>167</v>
      </c>
      <c r="D4" s="104"/>
    </row>
    <row r="5" spans="2:4" ht="15" customHeight="1">
      <c r="B5" s="105"/>
      <c r="C5" s="1"/>
      <c r="D5" s="104"/>
    </row>
    <row r="6" spans="2:4" ht="15" customHeight="1">
      <c r="B6" s="105"/>
      <c r="C6" s="1" t="s">
        <v>100</v>
      </c>
      <c r="D6" s="104"/>
    </row>
    <row r="7" spans="2:4" ht="38.25">
      <c r="B7" s="105"/>
      <c r="C7" s="167" t="s">
        <v>115</v>
      </c>
      <c r="D7" s="104"/>
    </row>
    <row r="8" spans="2:4" ht="15" customHeight="1">
      <c r="B8" s="105"/>
      <c r="C8" s="1"/>
      <c r="D8" s="104"/>
    </row>
    <row r="9" spans="2:4" ht="15" customHeight="1">
      <c r="B9" s="105"/>
      <c r="C9" s="1" t="s">
        <v>101</v>
      </c>
      <c r="D9" s="104"/>
    </row>
    <row r="10" spans="2:4" ht="63.75">
      <c r="B10" s="105"/>
      <c r="C10" s="167" t="s">
        <v>116</v>
      </c>
      <c r="D10" s="104"/>
    </row>
    <row r="11" spans="2:4" ht="15" customHeight="1">
      <c r="B11" s="105"/>
      <c r="C11" s="1"/>
      <c r="D11" s="104"/>
    </row>
    <row r="12" spans="2:4" ht="15" customHeight="1">
      <c r="B12" s="105"/>
      <c r="C12" s="1" t="s">
        <v>102</v>
      </c>
      <c r="D12" s="104"/>
    </row>
    <row r="13" spans="2:4" s="184" customFormat="1" ht="63.75">
      <c r="B13" s="182"/>
      <c r="C13" s="185" t="s">
        <v>145</v>
      </c>
      <c r="D13" s="183"/>
    </row>
    <row r="14" spans="2:4" ht="15" customHeight="1" thickBot="1">
      <c r="B14" s="114"/>
      <c r="C14" s="60"/>
      <c r="D14" s="108"/>
    </row>
  </sheetData>
  <sheetProtection/>
  <printOptions/>
  <pageMargins left="0.787401575" right="0.787401575" top="0.984251969" bottom="0.984251969" header="0.4921259845" footer="0.492125984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B2:P95"/>
  <sheetViews>
    <sheetView tabSelected="1" zoomScale="130" zoomScaleNormal="130" zoomScaleSheetLayoutView="85" zoomScalePageLayoutView="0" workbookViewId="0" topLeftCell="A58">
      <selection activeCell="A1" sqref="A1"/>
    </sheetView>
  </sheetViews>
  <sheetFormatPr defaultColWidth="11.421875" defaultRowHeight="12.75"/>
  <cols>
    <col min="1" max="1" width="2.8515625" style="10" customWidth="1"/>
    <col min="2" max="2" width="1.421875" style="10" customWidth="1"/>
    <col min="3" max="3" width="25.28125" style="10" customWidth="1"/>
    <col min="4" max="4" width="11.421875" style="10" customWidth="1"/>
    <col min="5" max="5" width="17.7109375" style="123" customWidth="1"/>
    <col min="6" max="6" width="11.421875" style="123" customWidth="1"/>
    <col min="7" max="7" width="11.57421875" style="10" bestFit="1" customWidth="1"/>
    <col min="8" max="8" width="7.57421875" style="246" bestFit="1" customWidth="1"/>
    <col min="9" max="9" width="2.8515625" style="10" customWidth="1"/>
    <col min="10" max="10" width="11.57421875" style="10" bestFit="1" customWidth="1"/>
    <col min="11" max="14" width="11.421875" style="10" customWidth="1"/>
    <col min="15" max="15" width="11.421875" style="124" customWidth="1"/>
    <col min="16" max="16" width="1.421875" style="10" customWidth="1"/>
    <col min="17" max="16384" width="11.421875" style="10" customWidth="1"/>
  </cols>
  <sheetData>
    <row r="1" ht="15" customHeight="1"/>
    <row r="2" spans="2:16" ht="7.5" customHeight="1">
      <c r="B2" s="117"/>
      <c r="C2" s="118"/>
      <c r="D2" s="118"/>
      <c r="E2" s="125"/>
      <c r="F2" s="125"/>
      <c r="G2" s="118"/>
      <c r="H2" s="247"/>
      <c r="I2" s="118"/>
      <c r="J2" s="118"/>
      <c r="K2" s="118"/>
      <c r="L2" s="118"/>
      <c r="M2" s="118"/>
      <c r="N2" s="118"/>
      <c r="O2" s="126"/>
      <c r="P2" s="119"/>
    </row>
    <row r="3" spans="2:16" s="98" customFormat="1" ht="18.75">
      <c r="B3" s="127"/>
      <c r="C3" s="28" t="s">
        <v>5</v>
      </c>
      <c r="D3" s="29"/>
      <c r="E3" s="33"/>
      <c r="F3" s="33"/>
      <c r="G3" s="30"/>
      <c r="H3" s="68"/>
      <c r="I3" s="30"/>
      <c r="J3" s="29"/>
      <c r="K3" s="29"/>
      <c r="L3" s="29"/>
      <c r="M3" s="29"/>
      <c r="N3" s="29"/>
      <c r="O3" s="84"/>
      <c r="P3" s="116"/>
    </row>
    <row r="4" spans="2:16" ht="15" customHeight="1">
      <c r="B4" s="105"/>
      <c r="C4" s="1" t="s">
        <v>6</v>
      </c>
      <c r="D4" s="1"/>
      <c r="E4" s="24"/>
      <c r="F4" s="24"/>
      <c r="G4" s="1"/>
      <c r="H4" s="156"/>
      <c r="I4" s="1"/>
      <c r="J4" s="1"/>
      <c r="K4" s="1"/>
      <c r="L4" s="1"/>
      <c r="M4" s="1"/>
      <c r="N4" s="1"/>
      <c r="O4" s="166"/>
      <c r="P4" s="104"/>
    </row>
    <row r="5" spans="2:16" ht="15" customHeight="1">
      <c r="B5" s="105"/>
      <c r="C5" s="1"/>
      <c r="D5" s="1"/>
      <c r="E5" s="24"/>
      <c r="F5" s="24"/>
      <c r="G5" s="1"/>
      <c r="H5" s="156"/>
      <c r="I5" s="1"/>
      <c r="J5" s="1"/>
      <c r="K5" s="1"/>
      <c r="L5" s="1"/>
      <c r="M5" s="1"/>
      <c r="N5" s="1"/>
      <c r="O5" s="85"/>
      <c r="P5" s="104"/>
    </row>
    <row r="6" spans="2:16" s="99" customFormat="1" ht="15" customHeight="1">
      <c r="B6" s="105"/>
      <c r="C6" s="35" t="s">
        <v>7</v>
      </c>
      <c r="D6" s="36"/>
      <c r="E6" s="37"/>
      <c r="F6" s="37" t="s">
        <v>8</v>
      </c>
      <c r="G6" s="37" t="s">
        <v>84</v>
      </c>
      <c r="H6" s="248"/>
      <c r="I6" s="36"/>
      <c r="J6" s="36"/>
      <c r="K6" s="36"/>
      <c r="L6" s="36"/>
      <c r="M6" s="36"/>
      <c r="N6" s="36"/>
      <c r="O6" s="122"/>
      <c r="P6" s="104"/>
    </row>
    <row r="7" spans="2:16" ht="15" customHeight="1">
      <c r="B7" s="105"/>
      <c r="C7" s="189" t="s">
        <v>10</v>
      </c>
      <c r="D7" s="1"/>
      <c r="E7" s="24"/>
      <c r="F7" s="24" t="s">
        <v>60</v>
      </c>
      <c r="G7" s="186">
        <v>741000</v>
      </c>
      <c r="H7" s="156"/>
      <c r="I7" s="1"/>
      <c r="J7" s="1"/>
      <c r="K7" s="1"/>
      <c r="L7" s="1"/>
      <c r="M7" s="1"/>
      <c r="N7" s="1"/>
      <c r="O7" s="85"/>
      <c r="P7" s="104"/>
    </row>
    <row r="8" spans="2:16" ht="15" customHeight="1" thickBot="1">
      <c r="B8" s="105"/>
      <c r="C8" s="189" t="s">
        <v>152</v>
      </c>
      <c r="D8" s="1"/>
      <c r="E8" s="24"/>
      <c r="F8" s="24" t="s">
        <v>154</v>
      </c>
      <c r="G8" s="187">
        <v>1364000</v>
      </c>
      <c r="H8" s="156"/>
      <c r="I8" s="1"/>
      <c r="J8" s="1"/>
      <c r="K8" s="1"/>
      <c r="L8" s="1"/>
      <c r="M8" s="1"/>
      <c r="N8" s="1"/>
      <c r="O8" s="85"/>
      <c r="P8" s="104"/>
    </row>
    <row r="9" spans="2:16" ht="15" customHeight="1">
      <c r="B9" s="105"/>
      <c r="C9" s="48" t="s">
        <v>155</v>
      </c>
      <c r="D9" s="1"/>
      <c r="E9" s="24"/>
      <c r="F9" s="24"/>
      <c r="G9" s="24"/>
      <c r="H9" s="156"/>
      <c r="I9" s="1"/>
      <c r="J9" s="15"/>
      <c r="K9" s="1"/>
      <c r="L9" s="1"/>
      <c r="M9" s="1"/>
      <c r="N9" s="1"/>
      <c r="O9" s="85"/>
      <c r="P9" s="104"/>
    </row>
    <row r="10" spans="2:16" ht="15" customHeight="1">
      <c r="B10" s="105"/>
      <c r="C10" s="14" t="s">
        <v>11</v>
      </c>
      <c r="D10" s="1"/>
      <c r="E10" s="24"/>
      <c r="F10" s="24" t="s">
        <v>3</v>
      </c>
      <c r="G10" s="132"/>
      <c r="H10" s="249">
        <f>IF(ISBLANK(G10),Calculation!F7,"")</f>
        <v>0.07167235494880546</v>
      </c>
      <c r="I10" s="1"/>
      <c r="J10" s="1"/>
      <c r="K10" s="1"/>
      <c r="L10" s="1"/>
      <c r="M10" s="1"/>
      <c r="N10" s="1"/>
      <c r="O10" s="85"/>
      <c r="P10" s="104"/>
    </row>
    <row r="11" spans="2:16" ht="15" customHeight="1">
      <c r="B11" s="105"/>
      <c r="C11" s="14" t="s">
        <v>12</v>
      </c>
      <c r="D11" s="1"/>
      <c r="E11" s="24"/>
      <c r="F11" s="24" t="s">
        <v>3</v>
      </c>
      <c r="G11" s="133"/>
      <c r="H11" s="249">
        <f>IF(ISBLANK(G11),Calculation!F8,"")</f>
        <v>0.46075085324232085</v>
      </c>
      <c r="I11" s="1"/>
      <c r="J11" s="1"/>
      <c r="K11" s="1"/>
      <c r="L11" s="1"/>
      <c r="M11" s="1"/>
      <c r="N11" s="1"/>
      <c r="O11" s="85"/>
      <c r="P11" s="104"/>
    </row>
    <row r="12" spans="2:16" ht="15" customHeight="1">
      <c r="B12" s="105"/>
      <c r="C12" s="14" t="s">
        <v>13</v>
      </c>
      <c r="D12" s="1"/>
      <c r="E12" s="24"/>
      <c r="F12" s="24" t="s">
        <v>3</v>
      </c>
      <c r="G12" s="133"/>
      <c r="H12" s="249">
        <f>IF(ISBLANK(G12),Calculation!F9,"")</f>
        <v>0.0537542662116041</v>
      </c>
      <c r="I12" s="1"/>
      <c r="J12" s="1"/>
      <c r="K12" s="1"/>
      <c r="L12" s="1"/>
      <c r="M12" s="1"/>
      <c r="N12" s="1"/>
      <c r="O12" s="85"/>
      <c r="P12" s="104"/>
    </row>
    <row r="13" spans="2:16" ht="15" customHeight="1">
      <c r="B13" s="105"/>
      <c r="C13" s="14" t="s">
        <v>14</v>
      </c>
      <c r="D13" s="1"/>
      <c r="E13" s="24"/>
      <c r="F13" s="24" t="s">
        <v>3</v>
      </c>
      <c r="G13" s="133"/>
      <c r="H13" s="249">
        <f>IF(ISBLANK(G13),Calculation!F10,"")</f>
        <v>0.22866894197952217</v>
      </c>
      <c r="I13" s="1"/>
      <c r="J13" s="1"/>
      <c r="K13" s="1"/>
      <c r="L13" s="1"/>
      <c r="M13" s="1"/>
      <c r="N13" s="1"/>
      <c r="O13" s="85"/>
      <c r="P13" s="104"/>
    </row>
    <row r="14" spans="2:16" ht="15" customHeight="1">
      <c r="B14" s="105"/>
      <c r="C14" s="14" t="s">
        <v>15</v>
      </c>
      <c r="D14" s="1"/>
      <c r="E14" s="24"/>
      <c r="F14" s="24" t="s">
        <v>3</v>
      </c>
      <c r="G14" s="133"/>
      <c r="H14" s="249">
        <f>IF(ISBLANK(G14),Calculation!F11,"")</f>
        <v>0.017064846416382253</v>
      </c>
      <c r="I14" s="1"/>
      <c r="J14" s="1"/>
      <c r="K14" s="1"/>
      <c r="L14" s="1"/>
      <c r="M14" s="1"/>
      <c r="N14" s="1"/>
      <c r="O14" s="85"/>
      <c r="P14" s="104"/>
    </row>
    <row r="15" spans="2:16" ht="15" customHeight="1">
      <c r="B15" s="105"/>
      <c r="C15" s="14" t="s">
        <v>16</v>
      </c>
      <c r="D15" s="1"/>
      <c r="E15" s="24"/>
      <c r="F15" s="24" t="s">
        <v>3</v>
      </c>
      <c r="G15" s="133"/>
      <c r="H15" s="249">
        <f>IF(ISBLANK(G15),Calculation!F12,"")</f>
        <v>0.0537542662116041</v>
      </c>
      <c r="I15" s="1"/>
      <c r="J15" s="1"/>
      <c r="K15" s="1"/>
      <c r="L15" s="1"/>
      <c r="M15" s="1"/>
      <c r="N15" s="1"/>
      <c r="O15" s="85"/>
      <c r="P15" s="104"/>
    </row>
    <row r="16" spans="2:16" ht="15" customHeight="1" thickBot="1">
      <c r="B16" s="105"/>
      <c r="C16" s="14" t="s">
        <v>17</v>
      </c>
      <c r="D16" s="1"/>
      <c r="E16" s="24"/>
      <c r="F16" s="24" t="s">
        <v>3</v>
      </c>
      <c r="G16" s="134"/>
      <c r="H16" s="249">
        <f>IF(ISBLANK(G16),Calculation!F13,"")</f>
        <v>0.11433447098976109</v>
      </c>
      <c r="I16" s="1"/>
      <c r="J16" s="1"/>
      <c r="K16" s="1"/>
      <c r="L16" s="1"/>
      <c r="M16" s="1"/>
      <c r="N16" s="1"/>
      <c r="O16" s="85"/>
      <c r="P16" s="104"/>
    </row>
    <row r="17" spans="2:16" ht="15" customHeight="1">
      <c r="B17" s="105"/>
      <c r="C17" s="48"/>
      <c r="D17" s="1"/>
      <c r="E17" s="24"/>
      <c r="F17" s="24"/>
      <c r="G17" s="24"/>
      <c r="H17" s="156"/>
      <c r="I17" s="1"/>
      <c r="J17" s="1"/>
      <c r="K17" s="1"/>
      <c r="L17" s="1"/>
      <c r="M17" s="1"/>
      <c r="N17" s="1"/>
      <c r="O17" s="85"/>
      <c r="P17" s="104"/>
    </row>
    <row r="18" spans="2:16" ht="15" customHeight="1">
      <c r="B18" s="105"/>
      <c r="C18" s="1"/>
      <c r="D18" s="1"/>
      <c r="E18" s="24"/>
      <c r="F18" s="24"/>
      <c r="G18" s="24"/>
      <c r="H18" s="156"/>
      <c r="I18" s="1"/>
      <c r="J18" s="1"/>
      <c r="K18" s="1"/>
      <c r="L18" s="1"/>
      <c r="M18" s="1"/>
      <c r="N18" s="1"/>
      <c r="O18" s="85"/>
      <c r="P18" s="104"/>
    </row>
    <row r="19" spans="2:16" s="99" customFormat="1" ht="15" customHeight="1">
      <c r="B19" s="105"/>
      <c r="C19" s="35" t="s">
        <v>94</v>
      </c>
      <c r="D19" s="36"/>
      <c r="E19" s="37"/>
      <c r="F19" s="37" t="str">
        <f>F6</f>
        <v>Scale basis</v>
      </c>
      <c r="G19" s="37" t="str">
        <f>G6</f>
        <v>Value</v>
      </c>
      <c r="H19" s="248"/>
      <c r="I19" s="36"/>
      <c r="J19" s="36"/>
      <c r="K19" s="36"/>
      <c r="L19" s="36"/>
      <c r="M19" s="36"/>
      <c r="N19" s="36"/>
      <c r="O19" s="122"/>
      <c r="P19" s="104"/>
    </row>
    <row r="20" spans="2:16" ht="15" customHeight="1" thickBot="1">
      <c r="B20" s="105"/>
      <c r="C20" s="189" t="s">
        <v>95</v>
      </c>
      <c r="D20" s="1"/>
      <c r="E20" s="24"/>
      <c r="F20" s="24" t="s">
        <v>25</v>
      </c>
      <c r="G20" s="188">
        <v>783500</v>
      </c>
      <c r="H20" s="156"/>
      <c r="I20" s="1"/>
      <c r="J20" s="1"/>
      <c r="K20" s="1"/>
      <c r="L20" s="1"/>
      <c r="M20" s="1"/>
      <c r="N20" s="1"/>
      <c r="O20" s="85"/>
      <c r="P20" s="104"/>
    </row>
    <row r="21" spans="2:16" ht="15" customHeight="1">
      <c r="B21" s="105"/>
      <c r="C21" s="48" t="s">
        <v>83</v>
      </c>
      <c r="D21" s="1"/>
      <c r="E21" s="24"/>
      <c r="F21" s="24"/>
      <c r="G21" s="24"/>
      <c r="H21" s="156"/>
      <c r="I21" s="1"/>
      <c r="J21" s="1"/>
      <c r="K21" s="1"/>
      <c r="L21" s="1"/>
      <c r="M21" s="1"/>
      <c r="N21" s="1"/>
      <c r="O21" s="85"/>
      <c r="P21" s="104"/>
    </row>
    <row r="22" spans="2:16" ht="15" customHeight="1">
      <c r="B22" s="105"/>
      <c r="C22" s="14" t="s">
        <v>32</v>
      </c>
      <c r="D22" s="1"/>
      <c r="E22" s="24"/>
      <c r="F22" s="24" t="s">
        <v>25</v>
      </c>
      <c r="G22" s="135">
        <v>17100</v>
      </c>
      <c r="H22" s="162">
        <f>IF(ISBLANK(G22),Calculation!F21,"")</f>
      </c>
      <c r="I22" s="1"/>
      <c r="J22" s="15"/>
      <c r="K22" s="1"/>
      <c r="L22" s="1"/>
      <c r="M22" s="1"/>
      <c r="N22" s="1"/>
      <c r="O22" s="85"/>
      <c r="P22" s="104"/>
    </row>
    <row r="23" spans="2:16" ht="15" customHeight="1">
      <c r="B23" s="105"/>
      <c r="C23" s="14" t="s">
        <v>44</v>
      </c>
      <c r="D23" s="1"/>
      <c r="E23" s="24"/>
      <c r="F23" s="24" t="s">
        <v>25</v>
      </c>
      <c r="G23" s="136">
        <v>551000</v>
      </c>
      <c r="H23" s="162">
        <f>IF(ISBLANK(G23),Calculation!F22,"")</f>
      </c>
      <c r="I23" s="1"/>
      <c r="J23" s="1"/>
      <c r="K23" s="1"/>
      <c r="L23" s="1"/>
      <c r="M23" s="1"/>
      <c r="N23" s="1"/>
      <c r="O23" s="85"/>
      <c r="P23" s="104"/>
    </row>
    <row r="24" spans="2:16" ht="15" customHeight="1">
      <c r="B24" s="105"/>
      <c r="C24" s="14" t="s">
        <v>45</v>
      </c>
      <c r="D24" s="1"/>
      <c r="E24" s="24"/>
      <c r="F24" s="24" t="s">
        <v>25</v>
      </c>
      <c r="G24" s="136">
        <v>109000</v>
      </c>
      <c r="H24" s="162">
        <f>IF(ISBLANK(G24),Calculation!F23,"")</f>
      </c>
      <c r="I24" s="1"/>
      <c r="J24" s="1"/>
      <c r="K24" s="1"/>
      <c r="L24" s="1"/>
      <c r="M24" s="1"/>
      <c r="N24" s="1"/>
      <c r="O24" s="85"/>
      <c r="P24" s="104"/>
    </row>
    <row r="25" spans="2:16" ht="15" customHeight="1">
      <c r="B25" s="105"/>
      <c r="C25" s="14" t="s">
        <v>43</v>
      </c>
      <c r="D25" s="1"/>
      <c r="E25" s="24"/>
      <c r="F25" s="24" t="s">
        <v>25</v>
      </c>
      <c r="G25" s="136"/>
      <c r="H25" s="162">
        <f>IF(ISBLANK(G25),Calculation!F24,"")</f>
        <v>62432.75758620562</v>
      </c>
      <c r="I25" s="1"/>
      <c r="J25" s="1"/>
      <c r="K25" s="1"/>
      <c r="L25" s="1"/>
      <c r="M25" s="1"/>
      <c r="N25" s="1"/>
      <c r="O25" s="85"/>
      <c r="P25" s="104"/>
    </row>
    <row r="26" spans="2:16" ht="15" customHeight="1">
      <c r="B26" s="105"/>
      <c r="C26" s="14" t="s">
        <v>82</v>
      </c>
      <c r="D26" s="1"/>
      <c r="E26" s="24"/>
      <c r="F26" s="24" t="s">
        <v>25</v>
      </c>
      <c r="G26" s="136"/>
      <c r="H26" s="162">
        <f>IF(ISBLANK(G26),Calculation!F25,"")</f>
        <v>41632.704078081915</v>
      </c>
      <c r="I26" s="1"/>
      <c r="J26" s="1"/>
      <c r="K26" s="1"/>
      <c r="L26" s="1"/>
      <c r="M26" s="1"/>
      <c r="N26" s="1"/>
      <c r="O26" s="85"/>
      <c r="P26" s="104"/>
    </row>
    <row r="27" spans="2:16" ht="15" customHeight="1">
      <c r="B27" s="105"/>
      <c r="C27" s="14" t="s">
        <v>34</v>
      </c>
      <c r="D27" s="1"/>
      <c r="E27" s="24"/>
      <c r="F27" s="24" t="s">
        <v>25</v>
      </c>
      <c r="G27" s="136"/>
      <c r="H27" s="162">
        <f>IF(ISBLANK(G27),Calculation!F26,"")</f>
        <v>1834.538335712476</v>
      </c>
      <c r="I27" s="1"/>
      <c r="J27" s="1"/>
      <c r="K27" s="1"/>
      <c r="L27" s="1"/>
      <c r="M27" s="1"/>
      <c r="N27" s="1"/>
      <c r="O27" s="85"/>
      <c r="P27" s="104"/>
    </row>
    <row r="28" spans="2:16" ht="15" customHeight="1">
      <c r="B28" s="105"/>
      <c r="C28" s="31" t="s">
        <v>33</v>
      </c>
      <c r="D28" s="32"/>
      <c r="E28" s="34"/>
      <c r="F28" s="34" t="s">
        <v>25</v>
      </c>
      <c r="G28" s="137">
        <v>500</v>
      </c>
      <c r="H28" s="162">
        <f>IF(ISBLANK(G28),Calculation!F27,"")</f>
      </c>
      <c r="I28" s="1"/>
      <c r="J28" s="1"/>
      <c r="K28" s="1"/>
      <c r="L28" s="1"/>
      <c r="M28" s="1"/>
      <c r="N28" s="1"/>
      <c r="O28" s="85"/>
      <c r="P28" s="104"/>
    </row>
    <row r="29" spans="2:16" ht="15" customHeight="1">
      <c r="B29" s="105"/>
      <c r="C29" s="14" t="s">
        <v>29</v>
      </c>
      <c r="D29" s="1"/>
      <c r="E29" s="24"/>
      <c r="F29" s="24" t="s">
        <v>26</v>
      </c>
      <c r="G29" s="136"/>
      <c r="H29" s="162">
        <f>IF(ISBLANK(G29),Calculation!F28,"")</f>
        <v>22655.7734494213</v>
      </c>
      <c r="I29" s="1"/>
      <c r="J29" s="1"/>
      <c r="K29" s="1"/>
      <c r="L29" s="1"/>
      <c r="M29" s="1"/>
      <c r="N29" s="1"/>
      <c r="O29" s="85"/>
      <c r="P29" s="104"/>
    </row>
    <row r="30" spans="2:16" ht="15" customHeight="1">
      <c r="B30" s="105"/>
      <c r="C30" s="14" t="s">
        <v>30</v>
      </c>
      <c r="D30" s="1"/>
      <c r="E30" s="24"/>
      <c r="F30" s="24" t="s">
        <v>27</v>
      </c>
      <c r="G30" s="136"/>
      <c r="H30" s="162">
        <f>IF(ISBLANK(G30),Calculation!F29,"")</f>
        <v>476787.44478733744</v>
      </c>
      <c r="I30" s="1"/>
      <c r="J30" s="1"/>
      <c r="K30" s="1"/>
      <c r="L30" s="1"/>
      <c r="M30" s="1"/>
      <c r="N30" s="1"/>
      <c r="O30" s="85"/>
      <c r="P30" s="104"/>
    </row>
    <row r="31" spans="2:16" ht="15" customHeight="1" thickBot="1">
      <c r="B31" s="105"/>
      <c r="C31" s="14" t="s">
        <v>31</v>
      </c>
      <c r="D31" s="1"/>
      <c r="E31" s="24"/>
      <c r="F31" s="24" t="s">
        <v>28</v>
      </c>
      <c r="G31" s="131"/>
      <c r="H31" s="162">
        <f>IF(ISBLANK(G31),Calculation!F30,"")</f>
        <v>154135.79036204072</v>
      </c>
      <c r="I31" s="1"/>
      <c r="J31" s="1"/>
      <c r="K31" s="1"/>
      <c r="L31" s="1"/>
      <c r="M31" s="1"/>
      <c r="N31" s="1"/>
      <c r="O31" s="85"/>
      <c r="P31" s="104"/>
    </row>
    <row r="32" spans="2:16" ht="19.5" customHeight="1">
      <c r="B32" s="105"/>
      <c r="C32" s="1"/>
      <c r="D32" s="1"/>
      <c r="E32" s="24"/>
      <c r="F32" s="24"/>
      <c r="G32" s="1"/>
      <c r="H32" s="162"/>
      <c r="I32" s="1"/>
      <c r="J32" s="1">
        <f>J20</f>
        <v>0</v>
      </c>
      <c r="K32" s="1"/>
      <c r="L32" s="1"/>
      <c r="M32" s="1"/>
      <c r="N32" s="1"/>
      <c r="O32" s="85"/>
      <c r="P32" s="104"/>
    </row>
    <row r="33" spans="2:16" s="99" customFormat="1" ht="15" customHeight="1">
      <c r="B33" s="105"/>
      <c r="C33" s="35" t="s">
        <v>61</v>
      </c>
      <c r="D33" s="36"/>
      <c r="E33" s="37"/>
      <c r="F33" s="37" t="str">
        <f>F6</f>
        <v>Scale basis</v>
      </c>
      <c r="G33" s="37" t="str">
        <f>G6</f>
        <v>Value</v>
      </c>
      <c r="H33" s="250"/>
      <c r="I33" s="36"/>
      <c r="J33" s="36"/>
      <c r="K33" s="36"/>
      <c r="L33" s="36"/>
      <c r="M33" s="36"/>
      <c r="N33" s="36"/>
      <c r="O33" s="122"/>
      <c r="P33" s="104"/>
    </row>
    <row r="34" spans="2:16" ht="15" customHeight="1" thickBot="1">
      <c r="B34" s="105"/>
      <c r="C34" s="189" t="s">
        <v>95</v>
      </c>
      <c r="D34" s="1"/>
      <c r="E34" s="24"/>
      <c r="F34" s="24" t="s">
        <v>25</v>
      </c>
      <c r="G34" s="188">
        <v>100000</v>
      </c>
      <c r="H34" s="162"/>
      <c r="I34" s="1"/>
      <c r="J34" s="1"/>
      <c r="K34" s="1"/>
      <c r="L34" s="1"/>
      <c r="M34" s="1"/>
      <c r="N34" s="1"/>
      <c r="O34" s="85"/>
      <c r="P34" s="104"/>
    </row>
    <row r="35" spans="2:16" ht="15" customHeight="1">
      <c r="B35" s="105"/>
      <c r="C35" s="48" t="s">
        <v>83</v>
      </c>
      <c r="D35" s="1"/>
      <c r="E35" s="24"/>
      <c r="F35" s="24"/>
      <c r="G35" s="24"/>
      <c r="H35" s="162"/>
      <c r="I35" s="1"/>
      <c r="J35" s="1"/>
      <c r="K35" s="1"/>
      <c r="L35" s="1"/>
      <c r="M35" s="1"/>
      <c r="N35" s="1"/>
      <c r="O35" s="85"/>
      <c r="P35" s="104"/>
    </row>
    <row r="36" spans="2:16" ht="15" customHeight="1">
      <c r="B36" s="105"/>
      <c r="C36" s="14" t="s">
        <v>35</v>
      </c>
      <c r="D36" s="1"/>
      <c r="E36" s="24"/>
      <c r="F36" s="24" t="s">
        <v>25</v>
      </c>
      <c r="G36" s="135"/>
      <c r="H36" s="162">
        <f>IF(ISBLANK(G36),Calculation!F48,"")</f>
        <v>485.7468643101483</v>
      </c>
      <c r="I36" s="1"/>
      <c r="J36" s="15"/>
      <c r="K36" s="1"/>
      <c r="L36" s="1"/>
      <c r="M36" s="1"/>
      <c r="N36" s="1"/>
      <c r="O36" s="85"/>
      <c r="P36" s="104"/>
    </row>
    <row r="37" spans="2:16" ht="15" customHeight="1">
      <c r="B37" s="105"/>
      <c r="C37" s="14" t="s">
        <v>36</v>
      </c>
      <c r="D37" s="1"/>
      <c r="E37" s="24"/>
      <c r="F37" s="24" t="s">
        <v>25</v>
      </c>
      <c r="G37" s="136">
        <v>5000</v>
      </c>
      <c r="H37" s="162">
        <f>IF(ISBLANK(G37),Calculation!F49,"")</f>
      </c>
      <c r="I37" s="1"/>
      <c r="J37" s="1"/>
      <c r="K37" s="1"/>
      <c r="L37" s="1"/>
      <c r="M37" s="1"/>
      <c r="N37" s="1"/>
      <c r="O37" s="85"/>
      <c r="P37" s="104"/>
    </row>
    <row r="38" spans="2:16" ht="15" customHeight="1">
      <c r="B38" s="105"/>
      <c r="C38" s="14" t="s">
        <v>37</v>
      </c>
      <c r="D38" s="1"/>
      <c r="E38" s="24"/>
      <c r="F38" s="24" t="s">
        <v>25</v>
      </c>
      <c r="G38" s="136">
        <v>1300</v>
      </c>
      <c r="H38" s="162">
        <f>IF(ISBLANK(G38),Calculation!F50,"")</f>
      </c>
      <c r="I38" s="1"/>
      <c r="J38" s="1"/>
      <c r="K38" s="1"/>
      <c r="L38" s="1"/>
      <c r="M38" s="1"/>
      <c r="N38" s="1"/>
      <c r="O38" s="85"/>
      <c r="P38" s="104"/>
    </row>
    <row r="39" spans="2:16" ht="15" customHeight="1">
      <c r="B39" s="105"/>
      <c r="C39" s="14" t="s">
        <v>38</v>
      </c>
      <c r="D39" s="1"/>
      <c r="E39" s="24"/>
      <c r="F39" s="24" t="s">
        <v>25</v>
      </c>
      <c r="G39" s="136">
        <v>2100</v>
      </c>
      <c r="H39" s="162">
        <f>IF(ISBLANK(G39),Calculation!F51,"")</f>
      </c>
      <c r="I39" s="1"/>
      <c r="J39" s="1"/>
      <c r="K39" s="1"/>
      <c r="L39" s="1"/>
      <c r="M39" s="1"/>
      <c r="N39" s="1"/>
      <c r="O39" s="85"/>
      <c r="P39" s="104"/>
    </row>
    <row r="40" spans="2:16" ht="15" customHeight="1">
      <c r="B40" s="105"/>
      <c r="C40" s="14" t="s">
        <v>39</v>
      </c>
      <c r="D40" s="1"/>
      <c r="E40" s="24"/>
      <c r="F40" s="24" t="s">
        <v>25</v>
      </c>
      <c r="G40" s="136">
        <v>1000</v>
      </c>
      <c r="H40" s="162">
        <f>IF(ISBLANK(G40),Calculation!F52,"")</f>
      </c>
      <c r="I40" s="1"/>
      <c r="J40" s="1"/>
      <c r="K40" s="1"/>
      <c r="L40" s="1"/>
      <c r="M40" s="1"/>
      <c r="N40" s="1"/>
      <c r="O40" s="85"/>
      <c r="P40" s="104"/>
    </row>
    <row r="41" spans="2:16" ht="15" customHeight="1">
      <c r="B41" s="105"/>
      <c r="C41" s="14" t="s">
        <v>40</v>
      </c>
      <c r="D41" s="1"/>
      <c r="E41" s="24"/>
      <c r="F41" s="24" t="s">
        <v>25</v>
      </c>
      <c r="G41" s="136">
        <v>500</v>
      </c>
      <c r="H41" s="162">
        <f>IF(ISBLANK(G41),Calculation!F53,"")</f>
      </c>
      <c r="I41" s="1"/>
      <c r="J41" s="1"/>
      <c r="K41" s="1"/>
      <c r="L41" s="1"/>
      <c r="M41" s="1"/>
      <c r="N41" s="1"/>
      <c r="O41" s="85"/>
      <c r="P41" s="104"/>
    </row>
    <row r="42" spans="2:16" ht="15" customHeight="1">
      <c r="B42" s="105"/>
      <c r="C42" s="14" t="s">
        <v>41</v>
      </c>
      <c r="D42" s="1"/>
      <c r="E42" s="24"/>
      <c r="F42" s="24" t="s">
        <v>25</v>
      </c>
      <c r="G42" s="136"/>
      <c r="H42" s="162">
        <f>IF(ISBLANK(G42),Calculation!F54,"")</f>
        <v>1801.3112884834663</v>
      </c>
      <c r="I42" s="1"/>
      <c r="J42" s="1"/>
      <c r="K42" s="1"/>
      <c r="L42" s="1"/>
      <c r="M42" s="1"/>
      <c r="N42" s="1"/>
      <c r="O42" s="85"/>
      <c r="P42" s="104"/>
    </row>
    <row r="43" spans="2:16" ht="15" customHeight="1">
      <c r="B43" s="105"/>
      <c r="C43" s="14" t="s">
        <v>42</v>
      </c>
      <c r="D43" s="1"/>
      <c r="E43" s="24"/>
      <c r="F43" s="24" t="s">
        <v>25</v>
      </c>
      <c r="G43" s="136"/>
      <c r="H43" s="162">
        <f>IF(ISBLANK(G43),Calculation!F55,"")</f>
        <v>2165.621436716078</v>
      </c>
      <c r="I43" s="1"/>
      <c r="J43" s="1"/>
      <c r="K43" s="1"/>
      <c r="L43" s="1"/>
      <c r="M43" s="1"/>
      <c r="N43" s="1"/>
      <c r="O43" s="85"/>
      <c r="P43" s="104"/>
    </row>
    <row r="44" spans="2:16" ht="15" customHeight="1">
      <c r="B44" s="105"/>
      <c r="C44" s="14" t="s">
        <v>46</v>
      </c>
      <c r="D44" s="1"/>
      <c r="E44" s="24"/>
      <c r="F44" s="24" t="s">
        <v>25</v>
      </c>
      <c r="G44" s="136"/>
      <c r="H44" s="162">
        <f>IF(ISBLANK(G44),Calculation!F56,"")</f>
        <v>1538.1984036488027</v>
      </c>
      <c r="I44" s="1"/>
      <c r="J44" s="1"/>
      <c r="K44" s="1"/>
      <c r="L44" s="1"/>
      <c r="M44" s="1"/>
      <c r="N44" s="1"/>
      <c r="O44" s="85"/>
      <c r="P44" s="104"/>
    </row>
    <row r="45" spans="2:16" ht="15" customHeight="1">
      <c r="B45" s="105"/>
      <c r="C45" s="14" t="s">
        <v>47</v>
      </c>
      <c r="D45" s="1"/>
      <c r="E45" s="24"/>
      <c r="F45" s="24" t="s">
        <v>25</v>
      </c>
      <c r="G45" s="136"/>
      <c r="H45" s="162">
        <f>IF(ISBLANK(G45),Calculation!F57,"")</f>
        <v>2671.6077537058154</v>
      </c>
      <c r="I45" s="1"/>
      <c r="J45" s="1"/>
      <c r="K45" s="1"/>
      <c r="L45" s="1"/>
      <c r="M45" s="1"/>
      <c r="N45" s="1"/>
      <c r="O45" s="85"/>
      <c r="P45" s="104"/>
    </row>
    <row r="46" spans="2:16" ht="15" customHeight="1">
      <c r="B46" s="105"/>
      <c r="C46" s="14" t="s">
        <v>77</v>
      </c>
      <c r="D46" s="1"/>
      <c r="E46" s="24"/>
      <c r="F46" s="24" t="s">
        <v>25</v>
      </c>
      <c r="G46" s="136"/>
      <c r="H46" s="162">
        <f>IF(ISBLANK(G46),Calculation!F58,"")</f>
        <v>13236.602052451539</v>
      </c>
      <c r="I46" s="1"/>
      <c r="J46" s="1"/>
      <c r="K46" s="1"/>
      <c r="L46" s="1"/>
      <c r="M46" s="1"/>
      <c r="N46" s="1"/>
      <c r="O46" s="85"/>
      <c r="P46" s="104"/>
    </row>
    <row r="47" spans="2:16" ht="15" customHeight="1">
      <c r="B47" s="105"/>
      <c r="C47" s="14" t="s">
        <v>48</v>
      </c>
      <c r="D47" s="1"/>
      <c r="E47" s="24"/>
      <c r="F47" s="24" t="s">
        <v>25</v>
      </c>
      <c r="G47" s="136">
        <v>6850</v>
      </c>
      <c r="H47" s="162">
        <f>IF(ISBLANK(G47),Calculation!F59,"")</f>
      </c>
      <c r="I47" s="1"/>
      <c r="J47" s="1"/>
      <c r="K47" s="1"/>
      <c r="L47" s="1"/>
      <c r="M47" s="1"/>
      <c r="N47" s="1"/>
      <c r="O47" s="85"/>
      <c r="P47" s="104"/>
    </row>
    <row r="48" spans="2:16" ht="15" customHeight="1">
      <c r="B48" s="105"/>
      <c r="C48" s="14" t="s">
        <v>49</v>
      </c>
      <c r="D48" s="1"/>
      <c r="E48" s="24"/>
      <c r="F48" s="24" t="s">
        <v>25</v>
      </c>
      <c r="G48" s="136">
        <v>30000</v>
      </c>
      <c r="H48" s="162">
        <f>IF(ISBLANK(G48),Calculation!F60,"")</f>
      </c>
      <c r="I48" s="1"/>
      <c r="J48" s="1"/>
      <c r="K48" s="1"/>
      <c r="L48" s="1"/>
      <c r="M48" s="1"/>
      <c r="N48" s="1"/>
      <c r="O48" s="85"/>
      <c r="P48" s="104"/>
    </row>
    <row r="49" spans="2:16" ht="15" customHeight="1" thickBot="1">
      <c r="B49" s="105"/>
      <c r="C49" s="14" t="s">
        <v>50</v>
      </c>
      <c r="D49" s="1"/>
      <c r="E49" s="24"/>
      <c r="F49" s="24" t="s">
        <v>25</v>
      </c>
      <c r="G49" s="131"/>
      <c r="H49" s="162">
        <f>IF(ISBLANK(G49),Calculation!F61,"")</f>
        <v>31350.91220068415</v>
      </c>
      <c r="I49" s="1"/>
      <c r="J49" s="1"/>
      <c r="K49" s="1"/>
      <c r="L49" s="1"/>
      <c r="M49" s="1"/>
      <c r="N49" s="1"/>
      <c r="O49" s="85"/>
      <c r="P49" s="104"/>
    </row>
    <row r="50" spans="2:16" ht="15" customHeight="1">
      <c r="B50" s="105"/>
      <c r="C50" s="1"/>
      <c r="D50" s="1"/>
      <c r="E50" s="24"/>
      <c r="F50" s="24"/>
      <c r="G50" s="138"/>
      <c r="H50" s="162"/>
      <c r="I50" s="1"/>
      <c r="J50" s="1"/>
      <c r="K50" s="1"/>
      <c r="L50" s="1"/>
      <c r="M50" s="1"/>
      <c r="N50" s="1"/>
      <c r="O50" s="85"/>
      <c r="P50" s="104"/>
    </row>
    <row r="51" spans="2:16" s="99" customFormat="1" ht="15" customHeight="1">
      <c r="B51" s="105"/>
      <c r="C51" s="35" t="s">
        <v>62</v>
      </c>
      <c r="D51" s="36"/>
      <c r="E51" s="37"/>
      <c r="F51" s="37" t="s">
        <v>8</v>
      </c>
      <c r="G51" s="37" t="s">
        <v>84</v>
      </c>
      <c r="H51" s="250"/>
      <c r="I51" s="36"/>
      <c r="J51" s="36"/>
      <c r="K51" s="36"/>
      <c r="L51" s="36"/>
      <c r="M51" s="36"/>
      <c r="N51" s="36"/>
      <c r="O51" s="122"/>
      <c r="P51" s="104"/>
    </row>
    <row r="52" spans="2:16" ht="15" customHeight="1">
      <c r="B52" s="105"/>
      <c r="C52" s="128" t="s">
        <v>121</v>
      </c>
      <c r="D52" s="1"/>
      <c r="E52" s="24"/>
      <c r="F52" s="73" t="s">
        <v>157</v>
      </c>
      <c r="G52" s="242">
        <f>Calculation!F66</f>
        <v>10721.120182048195</v>
      </c>
      <c r="H52" s="162"/>
      <c r="I52" s="1"/>
      <c r="J52" s="121"/>
      <c r="K52" s="1"/>
      <c r="L52" s="1"/>
      <c r="M52" s="1"/>
      <c r="N52" s="1"/>
      <c r="O52" s="85"/>
      <c r="P52" s="104"/>
    </row>
    <row r="53" spans="2:16" ht="15" customHeight="1">
      <c r="B53" s="105"/>
      <c r="C53" s="191" t="s">
        <v>118</v>
      </c>
      <c r="D53" s="1"/>
      <c r="E53" s="24"/>
      <c r="F53" s="24" t="s">
        <v>160</v>
      </c>
      <c r="G53" s="243"/>
      <c r="H53" s="162">
        <f>IF(ISBLANK(G53),Calculation!F67,"")</f>
        <v>1072.1120182048196</v>
      </c>
      <c r="I53" s="1"/>
      <c r="J53" s="121"/>
      <c r="K53" s="1"/>
      <c r="L53" s="1"/>
      <c r="M53" s="1"/>
      <c r="N53" s="1"/>
      <c r="O53" s="85"/>
      <c r="P53" s="104"/>
    </row>
    <row r="54" spans="2:16" ht="15" customHeight="1">
      <c r="B54" s="105"/>
      <c r="C54" s="191" t="s">
        <v>119</v>
      </c>
      <c r="D54" s="1"/>
      <c r="E54" s="24"/>
      <c r="F54" s="24" t="str">
        <f>F53</f>
        <v>1e6 tkm</v>
      </c>
      <c r="G54" s="244"/>
      <c r="H54" s="162">
        <f>IF(ISBLANK(G54),Calculation!F68,"")</f>
        <v>1898.9804835590774</v>
      </c>
      <c r="I54" s="1"/>
      <c r="J54" s="121"/>
      <c r="K54" s="1"/>
      <c r="L54" s="1"/>
      <c r="M54" s="1"/>
      <c r="N54" s="1"/>
      <c r="O54" s="85"/>
      <c r="P54" s="104"/>
    </row>
    <row r="55" spans="2:16" ht="15" customHeight="1">
      <c r="B55" s="105"/>
      <c r="C55" s="191" t="s">
        <v>125</v>
      </c>
      <c r="D55" s="1"/>
      <c r="E55" s="24"/>
      <c r="F55" s="24" t="str">
        <f>F53</f>
        <v>1e6 tkm</v>
      </c>
      <c r="G55" s="244"/>
      <c r="H55" s="162">
        <f>IF(ISBLANK(G55),Calculation!F69,"")</f>
        <v>19.88461239328877</v>
      </c>
      <c r="I55" s="1"/>
      <c r="J55" s="121"/>
      <c r="K55" s="1"/>
      <c r="L55" s="1"/>
      <c r="M55" s="1"/>
      <c r="N55" s="1"/>
      <c r="O55" s="85"/>
      <c r="P55" s="104"/>
    </row>
    <row r="56" spans="2:16" ht="15" customHeight="1" thickBot="1">
      <c r="B56" s="105"/>
      <c r="C56" s="233" t="s">
        <v>117</v>
      </c>
      <c r="D56" s="234"/>
      <c r="E56" s="235"/>
      <c r="F56" s="236" t="str">
        <f>F53</f>
        <v>1e6 tkm</v>
      </c>
      <c r="G56" s="245"/>
      <c r="H56" s="162">
        <f>IF(ISBLANK(G56),Calculation!F70,"")</f>
        <v>7730.143067891009</v>
      </c>
      <c r="I56" s="1"/>
      <c r="J56" s="121"/>
      <c r="K56" s="1"/>
      <c r="L56" s="1"/>
      <c r="M56" s="1"/>
      <c r="N56" s="1"/>
      <c r="O56" s="85"/>
      <c r="P56" s="104"/>
    </row>
    <row r="57" spans="2:16" ht="15" customHeight="1">
      <c r="B57" s="105"/>
      <c r="C57" s="128" t="s">
        <v>149</v>
      </c>
      <c r="D57" s="1"/>
      <c r="E57" s="24"/>
      <c r="F57" s="73" t="s">
        <v>146</v>
      </c>
      <c r="G57" s="242">
        <f>Calculation!F71</f>
        <v>19375.89772622713</v>
      </c>
      <c r="H57" s="162"/>
      <c r="I57" s="1"/>
      <c r="J57" s="121"/>
      <c r="K57" s="1"/>
      <c r="L57" s="1"/>
      <c r="M57" s="1"/>
      <c r="N57" s="1"/>
      <c r="O57" s="85"/>
      <c r="P57" s="104"/>
    </row>
    <row r="58" spans="2:16" ht="15" customHeight="1">
      <c r="B58" s="105"/>
      <c r="C58" s="191" t="s">
        <v>126</v>
      </c>
      <c r="D58" s="1"/>
      <c r="E58" s="24"/>
      <c r="F58" s="24" t="s">
        <v>161</v>
      </c>
      <c r="G58" s="243"/>
      <c r="H58" s="162">
        <f>IF(ISBLANK(G58),Calculation!F72,"")</f>
        <v>636.3075965852405</v>
      </c>
      <c r="I58" s="1"/>
      <c r="J58" s="121"/>
      <c r="K58" s="1"/>
      <c r="L58" s="1"/>
      <c r="M58" s="1"/>
      <c r="N58" s="1"/>
      <c r="O58" s="85"/>
      <c r="P58" s="104"/>
    </row>
    <row r="59" spans="2:16" ht="15" customHeight="1">
      <c r="B59" s="105"/>
      <c r="C59" s="191" t="s">
        <v>127</v>
      </c>
      <c r="D59" s="1"/>
      <c r="E59" s="24"/>
      <c r="F59" s="24" t="str">
        <f>F58</f>
        <v>1e6 pkm</v>
      </c>
      <c r="G59" s="244"/>
      <c r="H59" s="162">
        <f>IF(ISBLANK(G59),Calculation!F73,"")</f>
        <v>502.0864629305414</v>
      </c>
      <c r="I59" s="1"/>
      <c r="J59" s="121"/>
      <c r="K59" s="1"/>
      <c r="L59" s="1"/>
      <c r="M59" s="1"/>
      <c r="N59" s="1"/>
      <c r="O59" s="85"/>
      <c r="P59" s="104"/>
    </row>
    <row r="60" spans="2:16" ht="15" customHeight="1">
      <c r="B60" s="105"/>
      <c r="C60" s="191" t="s">
        <v>142</v>
      </c>
      <c r="D60" s="1"/>
      <c r="E60" s="24"/>
      <c r="F60" s="24" t="str">
        <f>F58</f>
        <v>1e6 pkm</v>
      </c>
      <c r="G60" s="244"/>
      <c r="H60" s="162">
        <f>IF(ISBLANK(G60),Calculation!F74,"")</f>
        <v>1355.4677448091843</v>
      </c>
      <c r="I60" s="1"/>
      <c r="J60" s="121"/>
      <c r="K60" s="1"/>
      <c r="L60" s="1"/>
      <c r="M60" s="1"/>
      <c r="N60" s="1"/>
      <c r="O60" s="85"/>
      <c r="P60" s="104"/>
    </row>
    <row r="61" spans="2:16" ht="15" customHeight="1">
      <c r="B61" s="105"/>
      <c r="C61" s="191" t="s">
        <v>156</v>
      </c>
      <c r="D61" s="1"/>
      <c r="E61" s="24"/>
      <c r="F61" s="24" t="str">
        <f>F58</f>
        <v>1e6 pkm</v>
      </c>
      <c r="G61" s="244"/>
      <c r="H61" s="162">
        <f>IF(ISBLANK(G61),Calculation!F75,"")</f>
        <v>1335.5831324158955</v>
      </c>
      <c r="I61" s="1"/>
      <c r="J61" s="121"/>
      <c r="K61" s="1"/>
      <c r="L61" s="1"/>
      <c r="M61" s="1"/>
      <c r="N61" s="1"/>
      <c r="O61" s="85"/>
      <c r="P61" s="104"/>
    </row>
    <row r="62" spans="2:16" ht="15" customHeight="1">
      <c r="B62" s="105"/>
      <c r="C62" s="191" t="s">
        <v>125</v>
      </c>
      <c r="D62" s="1"/>
      <c r="E62" s="24"/>
      <c r="F62" s="24" t="str">
        <f>F58</f>
        <v>1e6 pkm</v>
      </c>
      <c r="G62" s="244"/>
      <c r="H62" s="162">
        <f>IF(ISBLANK(G62),Calculation!F76,"")</f>
        <v>921.3203742223795</v>
      </c>
      <c r="I62" s="1"/>
      <c r="J62" s="121"/>
      <c r="K62" s="1"/>
      <c r="L62" s="1"/>
      <c r="M62" s="1"/>
      <c r="N62" s="1"/>
      <c r="O62" s="85"/>
      <c r="P62" s="104"/>
    </row>
    <row r="63" spans="2:16" ht="13.5" thickBot="1">
      <c r="B63" s="105"/>
      <c r="C63" s="191" t="s">
        <v>143</v>
      </c>
      <c r="D63" s="1"/>
      <c r="E63" s="24"/>
      <c r="F63" s="24" t="str">
        <f>F58</f>
        <v>1e6 pkm</v>
      </c>
      <c r="G63" s="245"/>
      <c r="H63" s="162">
        <f>IF(ISBLANK(G63),Calculation!F77,"")</f>
        <v>14625.13241526389</v>
      </c>
      <c r="I63" s="1"/>
      <c r="J63" s="1"/>
      <c r="K63" s="1"/>
      <c r="L63" s="1"/>
      <c r="M63" s="1"/>
      <c r="N63" s="1"/>
      <c r="O63" s="85"/>
      <c r="P63" s="104"/>
    </row>
    <row r="64" spans="2:16" ht="35.25" customHeight="1">
      <c r="B64" s="105"/>
      <c r="C64" s="1"/>
      <c r="D64" s="1"/>
      <c r="E64" s="24"/>
      <c r="F64" s="24"/>
      <c r="G64" s="1"/>
      <c r="H64" s="156"/>
      <c r="I64" s="1"/>
      <c r="J64" s="1"/>
      <c r="K64" s="1"/>
      <c r="L64" s="1"/>
      <c r="M64" s="1"/>
      <c r="N64" s="1"/>
      <c r="O64" s="85"/>
      <c r="P64" s="104"/>
    </row>
    <row r="65" spans="2:16" s="99" customFormat="1" ht="15" customHeight="1">
      <c r="B65" s="105"/>
      <c r="C65" s="35" t="s">
        <v>97</v>
      </c>
      <c r="D65" s="36"/>
      <c r="E65" s="37"/>
      <c r="F65" s="37" t="s">
        <v>99</v>
      </c>
      <c r="G65" s="37"/>
      <c r="H65" s="248"/>
      <c r="I65" s="37"/>
      <c r="J65" s="37" t="s">
        <v>148</v>
      </c>
      <c r="K65" s="36"/>
      <c r="L65" s="36"/>
      <c r="M65" s="36"/>
      <c r="N65" s="36"/>
      <c r="O65" s="122"/>
      <c r="P65" s="104"/>
    </row>
    <row r="66" spans="2:16" s="99" customFormat="1" ht="15" customHeight="1">
      <c r="B66" s="105"/>
      <c r="C66" s="14" t="s">
        <v>7</v>
      </c>
      <c r="D66" s="1"/>
      <c r="E66" s="24"/>
      <c r="F66" s="16">
        <f>Calculation!O83</f>
        <v>4610.065934271502</v>
      </c>
      <c r="G66" s="24"/>
      <c r="H66" s="156"/>
      <c r="I66" s="1"/>
      <c r="J66" s="16">
        <f>Calculation!K83</f>
        <v>12018.748131399318</v>
      </c>
      <c r="K66" s="1"/>
      <c r="L66" s="1"/>
      <c r="M66" s="1"/>
      <c r="N66" s="1"/>
      <c r="O66" s="85"/>
      <c r="P66" s="104"/>
    </row>
    <row r="67" spans="2:16" s="99" customFormat="1" ht="15" customHeight="1">
      <c r="B67" s="105"/>
      <c r="C67" s="14" t="s">
        <v>96</v>
      </c>
      <c r="D67" s="1"/>
      <c r="E67" s="24"/>
      <c r="F67" s="16">
        <f>Calculation!O84</f>
        <v>3471.179705179921</v>
      </c>
      <c r="G67" s="24"/>
      <c r="H67" s="156"/>
      <c r="I67" s="1"/>
      <c r="J67" s="16">
        <f>Calculation!K84</f>
        <v>10104.892733153309</v>
      </c>
      <c r="K67" s="1"/>
      <c r="L67" s="1"/>
      <c r="M67" s="1"/>
      <c r="N67" s="1"/>
      <c r="O67" s="85"/>
      <c r="P67" s="104"/>
    </row>
    <row r="68" spans="2:16" ht="15" customHeight="1">
      <c r="B68" s="105"/>
      <c r="C68" s="14" t="s">
        <v>61</v>
      </c>
      <c r="D68" s="1"/>
      <c r="E68" s="24"/>
      <c r="F68" s="16">
        <f>Calculation!O85</f>
        <v>4190.750399515545</v>
      </c>
      <c r="G68" s="1"/>
      <c r="H68" s="156"/>
      <c r="I68" s="1"/>
      <c r="J68" s="16">
        <f>Calculation!K85</f>
        <v>11268.43219870687</v>
      </c>
      <c r="K68" s="1"/>
      <c r="L68" s="1"/>
      <c r="M68" s="1"/>
      <c r="N68" s="1"/>
      <c r="O68" s="85"/>
      <c r="P68" s="104"/>
    </row>
    <row r="69" spans="2:16" ht="15" customHeight="1">
      <c r="B69" s="105"/>
      <c r="C69" s="14" t="s">
        <v>62</v>
      </c>
      <c r="D69" s="1"/>
      <c r="E69" s="24"/>
      <c r="F69" s="16">
        <f>Calculation!O86</f>
        <v>3587.437438852205</v>
      </c>
      <c r="G69" s="1"/>
      <c r="H69" s="156"/>
      <c r="I69" s="1"/>
      <c r="J69" s="16">
        <f>Calculation!K86</f>
        <v>13989.653344195036</v>
      </c>
      <c r="K69" s="1"/>
      <c r="L69" s="1"/>
      <c r="M69" s="1"/>
      <c r="N69" s="1"/>
      <c r="O69" s="85"/>
      <c r="P69" s="104"/>
    </row>
    <row r="70" spans="2:16" ht="15" customHeight="1">
      <c r="B70" s="105"/>
      <c r="C70" s="4" t="s">
        <v>63</v>
      </c>
      <c r="D70" s="1"/>
      <c r="E70" s="24"/>
      <c r="F70" s="18">
        <f>Calculation!O87</f>
        <v>15859.433477819173</v>
      </c>
      <c r="G70" s="1"/>
      <c r="H70" s="156"/>
      <c r="I70" s="1"/>
      <c r="J70" s="18">
        <f>Calculation!K87</f>
        <v>47381.72640745453</v>
      </c>
      <c r="K70" s="1"/>
      <c r="L70" s="1"/>
      <c r="M70" s="1"/>
      <c r="N70" s="1"/>
      <c r="O70" s="85"/>
      <c r="P70" s="104"/>
    </row>
    <row r="71" spans="2:16" ht="12.75">
      <c r="B71" s="105"/>
      <c r="C71" s="1"/>
      <c r="D71" s="1"/>
      <c r="E71" s="24"/>
      <c r="F71" s="24"/>
      <c r="G71" s="1"/>
      <c r="H71" s="156"/>
      <c r="I71" s="1"/>
      <c r="J71" s="1"/>
      <c r="K71" s="1"/>
      <c r="L71" s="1"/>
      <c r="M71" s="1"/>
      <c r="N71" s="1"/>
      <c r="O71" s="85"/>
      <c r="P71" s="104"/>
    </row>
    <row r="72" spans="2:16" ht="12.75">
      <c r="B72" s="105"/>
      <c r="C72" s="1"/>
      <c r="D72" s="1"/>
      <c r="E72" s="24"/>
      <c r="F72" s="24"/>
      <c r="G72" s="1"/>
      <c r="H72" s="156"/>
      <c r="I72" s="1"/>
      <c r="J72" s="1"/>
      <c r="K72" s="1"/>
      <c r="L72" s="1"/>
      <c r="M72" s="1"/>
      <c r="N72" s="1"/>
      <c r="O72" s="85"/>
      <c r="P72" s="104"/>
    </row>
    <row r="73" spans="2:16" ht="12.75">
      <c r="B73" s="105"/>
      <c r="C73" s="1"/>
      <c r="D73" s="1"/>
      <c r="E73" s="24"/>
      <c r="F73" s="24"/>
      <c r="G73" s="1"/>
      <c r="H73" s="156"/>
      <c r="I73" s="1"/>
      <c r="J73" s="1"/>
      <c r="K73" s="1"/>
      <c r="L73" s="1"/>
      <c r="M73" s="1"/>
      <c r="N73" s="1"/>
      <c r="O73" s="85"/>
      <c r="P73" s="104"/>
    </row>
    <row r="74" spans="2:16" ht="12.75">
      <c r="B74" s="105"/>
      <c r="C74" s="1"/>
      <c r="D74" s="1"/>
      <c r="E74" s="24"/>
      <c r="F74" s="24"/>
      <c r="G74" s="1"/>
      <c r="H74" s="156"/>
      <c r="I74" s="1"/>
      <c r="J74" s="1"/>
      <c r="K74" s="1"/>
      <c r="L74" s="1"/>
      <c r="M74" s="1"/>
      <c r="N74" s="1"/>
      <c r="O74" s="85"/>
      <c r="P74" s="104"/>
    </row>
    <row r="75" spans="2:16" ht="12.75">
      <c r="B75" s="105"/>
      <c r="C75" s="1"/>
      <c r="D75" s="1"/>
      <c r="E75" s="24"/>
      <c r="F75" s="24"/>
      <c r="G75" s="1"/>
      <c r="H75" s="156"/>
      <c r="I75" s="1"/>
      <c r="J75" s="1"/>
      <c r="K75" s="1"/>
      <c r="L75" s="1"/>
      <c r="M75" s="1"/>
      <c r="N75" s="1"/>
      <c r="O75" s="85"/>
      <c r="P75" s="104"/>
    </row>
    <row r="76" spans="2:16" ht="12.75">
      <c r="B76" s="105"/>
      <c r="C76" s="1"/>
      <c r="D76" s="1"/>
      <c r="E76" s="24"/>
      <c r="F76" s="24"/>
      <c r="G76" s="1"/>
      <c r="H76" s="156"/>
      <c r="I76" s="1"/>
      <c r="J76" s="1"/>
      <c r="K76" s="1"/>
      <c r="L76" s="1"/>
      <c r="M76" s="1"/>
      <c r="N76" s="1"/>
      <c r="O76" s="85"/>
      <c r="P76" s="104"/>
    </row>
    <row r="77" spans="2:16" ht="12.75">
      <c r="B77" s="105"/>
      <c r="C77" s="1"/>
      <c r="D77" s="1"/>
      <c r="E77" s="24"/>
      <c r="F77" s="24"/>
      <c r="G77" s="1"/>
      <c r="H77" s="156"/>
      <c r="I77" s="1"/>
      <c r="J77" s="1"/>
      <c r="K77" s="1"/>
      <c r="L77" s="1"/>
      <c r="M77" s="1"/>
      <c r="N77" s="1"/>
      <c r="O77" s="85"/>
      <c r="P77" s="104"/>
    </row>
    <row r="78" spans="2:16" ht="12.75">
      <c r="B78" s="105"/>
      <c r="C78" s="1"/>
      <c r="D78" s="1"/>
      <c r="E78" s="24"/>
      <c r="F78" s="24"/>
      <c r="G78" s="1"/>
      <c r="H78" s="156"/>
      <c r="I78" s="1"/>
      <c r="J78" s="1"/>
      <c r="K78" s="1"/>
      <c r="L78" s="1"/>
      <c r="M78" s="1"/>
      <c r="N78" s="1"/>
      <c r="O78" s="85"/>
      <c r="P78" s="104"/>
    </row>
    <row r="79" spans="2:16" ht="12.75">
      <c r="B79" s="105"/>
      <c r="C79" s="1"/>
      <c r="D79" s="1"/>
      <c r="E79" s="24"/>
      <c r="F79" s="24"/>
      <c r="G79" s="1"/>
      <c r="H79" s="156"/>
      <c r="I79" s="1"/>
      <c r="J79" s="1"/>
      <c r="K79" s="1"/>
      <c r="L79" s="1"/>
      <c r="M79" s="1"/>
      <c r="N79" s="1"/>
      <c r="O79" s="85"/>
      <c r="P79" s="104"/>
    </row>
    <row r="80" spans="2:16" ht="12.75">
      <c r="B80" s="105"/>
      <c r="C80" s="1"/>
      <c r="D80" s="1"/>
      <c r="E80" s="24"/>
      <c r="F80" s="24"/>
      <c r="G80" s="1"/>
      <c r="H80" s="156"/>
      <c r="I80" s="1"/>
      <c r="J80" s="1"/>
      <c r="K80" s="1"/>
      <c r="L80" s="1"/>
      <c r="M80" s="1"/>
      <c r="N80" s="1"/>
      <c r="O80" s="85"/>
      <c r="P80" s="104"/>
    </row>
    <row r="81" spans="2:16" ht="12.75">
      <c r="B81" s="105"/>
      <c r="C81" s="1"/>
      <c r="D81" s="1"/>
      <c r="E81" s="24"/>
      <c r="F81" s="24"/>
      <c r="G81" s="1"/>
      <c r="H81" s="156"/>
      <c r="I81" s="1"/>
      <c r="J81" s="1"/>
      <c r="K81" s="1"/>
      <c r="L81" s="1"/>
      <c r="M81" s="1"/>
      <c r="N81" s="1"/>
      <c r="O81" s="85"/>
      <c r="P81" s="104"/>
    </row>
    <row r="82" spans="2:16" ht="12.75">
      <c r="B82" s="105"/>
      <c r="C82" s="1"/>
      <c r="D82" s="1"/>
      <c r="E82" s="24"/>
      <c r="F82" s="24"/>
      <c r="G82" s="1"/>
      <c r="H82" s="156"/>
      <c r="I82" s="1"/>
      <c r="J82" s="1"/>
      <c r="K82" s="1"/>
      <c r="L82" s="1"/>
      <c r="M82" s="1"/>
      <c r="N82" s="1"/>
      <c r="O82" s="85"/>
      <c r="P82" s="104"/>
    </row>
    <row r="83" spans="2:16" ht="12.75">
      <c r="B83" s="105"/>
      <c r="C83" s="1"/>
      <c r="D83" s="1"/>
      <c r="E83" s="24"/>
      <c r="F83" s="24"/>
      <c r="G83" s="1"/>
      <c r="H83" s="156"/>
      <c r="I83" s="1"/>
      <c r="J83" s="1"/>
      <c r="K83" s="1"/>
      <c r="L83" s="1"/>
      <c r="M83" s="1"/>
      <c r="N83" s="1"/>
      <c r="O83" s="85"/>
      <c r="P83" s="104"/>
    </row>
    <row r="84" spans="2:16" ht="12.75">
      <c r="B84" s="105"/>
      <c r="C84" s="1"/>
      <c r="D84" s="1"/>
      <c r="E84" s="24"/>
      <c r="F84" s="24"/>
      <c r="G84" s="1"/>
      <c r="H84" s="156"/>
      <c r="I84" s="1"/>
      <c r="J84" s="1"/>
      <c r="K84" s="1"/>
      <c r="L84" s="1"/>
      <c r="M84" s="1"/>
      <c r="N84" s="1"/>
      <c r="O84" s="85"/>
      <c r="P84" s="104"/>
    </row>
    <row r="85" spans="2:16" ht="12.75">
      <c r="B85" s="105"/>
      <c r="C85" s="1"/>
      <c r="D85" s="1"/>
      <c r="E85" s="24"/>
      <c r="F85" s="24"/>
      <c r="G85" s="1"/>
      <c r="H85" s="156"/>
      <c r="I85" s="1"/>
      <c r="J85" s="1"/>
      <c r="K85" s="1"/>
      <c r="L85" s="1"/>
      <c r="M85" s="1"/>
      <c r="N85" s="1"/>
      <c r="O85" s="85"/>
      <c r="P85" s="104"/>
    </row>
    <row r="86" spans="2:16" ht="12.75">
      <c r="B86" s="105"/>
      <c r="C86" s="1"/>
      <c r="D86" s="1"/>
      <c r="E86" s="24"/>
      <c r="F86" s="24"/>
      <c r="G86" s="1"/>
      <c r="H86" s="156"/>
      <c r="I86" s="1"/>
      <c r="J86" s="1"/>
      <c r="K86" s="1"/>
      <c r="L86" s="1"/>
      <c r="M86" s="1"/>
      <c r="N86" s="1"/>
      <c r="O86" s="85"/>
      <c r="P86" s="104"/>
    </row>
    <row r="87" spans="2:16" ht="12.75">
      <c r="B87" s="105"/>
      <c r="C87" s="1"/>
      <c r="D87" s="1"/>
      <c r="E87" s="24"/>
      <c r="F87" s="24"/>
      <c r="G87" s="1"/>
      <c r="H87" s="156"/>
      <c r="I87" s="1"/>
      <c r="J87" s="1"/>
      <c r="K87" s="1"/>
      <c r="L87" s="1"/>
      <c r="M87" s="1"/>
      <c r="N87" s="1"/>
      <c r="O87" s="85"/>
      <c r="P87" s="104"/>
    </row>
    <row r="88" spans="2:16" ht="12.75">
      <c r="B88" s="105"/>
      <c r="C88" s="1"/>
      <c r="D88" s="1"/>
      <c r="E88" s="24"/>
      <c r="F88" s="24"/>
      <c r="G88" s="1"/>
      <c r="H88" s="156"/>
      <c r="I88" s="1"/>
      <c r="J88" s="1"/>
      <c r="K88" s="1"/>
      <c r="L88" s="1"/>
      <c r="M88" s="1"/>
      <c r="N88" s="1"/>
      <c r="O88" s="85"/>
      <c r="P88" s="104"/>
    </row>
    <row r="89" spans="2:16" ht="12.75">
      <c r="B89" s="105"/>
      <c r="C89" s="1"/>
      <c r="D89" s="1"/>
      <c r="E89" s="24"/>
      <c r="F89" s="24"/>
      <c r="G89" s="1"/>
      <c r="H89" s="156"/>
      <c r="I89" s="1"/>
      <c r="J89" s="1"/>
      <c r="K89" s="1"/>
      <c r="L89" s="1"/>
      <c r="M89" s="1"/>
      <c r="N89" s="1"/>
      <c r="O89" s="85"/>
      <c r="P89" s="104"/>
    </row>
    <row r="90" spans="2:16" ht="12.75">
      <c r="B90" s="105"/>
      <c r="C90" s="1"/>
      <c r="D90" s="1"/>
      <c r="E90" s="24"/>
      <c r="F90" s="24"/>
      <c r="G90" s="1"/>
      <c r="H90" s="156"/>
      <c r="I90" s="1"/>
      <c r="J90" s="1"/>
      <c r="K90" s="1"/>
      <c r="L90" s="1"/>
      <c r="M90" s="1"/>
      <c r="N90" s="1"/>
      <c r="O90" s="85"/>
      <c r="P90" s="104"/>
    </row>
    <row r="91" spans="2:16" ht="12.75">
      <c r="B91" s="105"/>
      <c r="C91" s="1"/>
      <c r="D91" s="1"/>
      <c r="E91" s="24"/>
      <c r="F91" s="24"/>
      <c r="G91" s="1"/>
      <c r="H91" s="156"/>
      <c r="I91" s="1"/>
      <c r="J91" s="1"/>
      <c r="K91" s="1"/>
      <c r="L91" s="1"/>
      <c r="M91" s="1"/>
      <c r="N91" s="1"/>
      <c r="O91" s="85"/>
      <c r="P91" s="104"/>
    </row>
    <row r="92" spans="2:16" ht="12.75">
      <c r="B92" s="105"/>
      <c r="C92" s="1"/>
      <c r="D92" s="1"/>
      <c r="E92" s="24"/>
      <c r="F92" s="24"/>
      <c r="G92" s="1"/>
      <c r="H92" s="156"/>
      <c r="I92" s="1"/>
      <c r="J92" s="1"/>
      <c r="K92" s="1"/>
      <c r="L92" s="1"/>
      <c r="M92" s="1"/>
      <c r="N92" s="1"/>
      <c r="O92" s="85"/>
      <c r="P92" s="104"/>
    </row>
    <row r="93" spans="2:16" ht="12.75">
      <c r="B93" s="105"/>
      <c r="C93" s="1"/>
      <c r="D93" s="1"/>
      <c r="E93" s="24"/>
      <c r="F93" s="24"/>
      <c r="G93" s="1"/>
      <c r="H93" s="156"/>
      <c r="I93" s="1"/>
      <c r="J93" s="1"/>
      <c r="K93" s="1"/>
      <c r="L93" s="1"/>
      <c r="M93" s="1"/>
      <c r="N93" s="1"/>
      <c r="O93" s="85"/>
      <c r="P93" s="104"/>
    </row>
    <row r="94" spans="2:16" ht="12.75">
      <c r="B94" s="105"/>
      <c r="C94" s="1"/>
      <c r="D94" s="1"/>
      <c r="E94" s="24"/>
      <c r="F94" s="24"/>
      <c r="G94" s="1"/>
      <c r="H94" s="156"/>
      <c r="I94" s="1"/>
      <c r="J94" s="1"/>
      <c r="K94" s="1"/>
      <c r="L94" s="1"/>
      <c r="M94" s="1"/>
      <c r="N94" s="1"/>
      <c r="O94" s="85"/>
      <c r="P94" s="104"/>
    </row>
    <row r="95" spans="2:16" ht="15" customHeight="1" thickBot="1">
      <c r="B95" s="114"/>
      <c r="C95" s="60"/>
      <c r="D95" s="60"/>
      <c r="E95" s="129"/>
      <c r="F95" s="129"/>
      <c r="G95" s="60"/>
      <c r="H95" s="251"/>
      <c r="I95" s="60"/>
      <c r="J95" s="60"/>
      <c r="K95" s="60"/>
      <c r="L95" s="60"/>
      <c r="M95" s="60"/>
      <c r="N95" s="60"/>
      <c r="O95" s="130"/>
      <c r="P95" s="108"/>
    </row>
  </sheetData>
  <sheetProtection selectLockedCells="1"/>
  <conditionalFormatting sqref="G36:G49">
    <cfRule type="expression" priority="1" dxfId="0" stopIfTrue="1">
      <formula>IF(SUM($G$36:$G$49)&gt;$G$34,TRUE(),FALSE())</formula>
    </cfRule>
  </conditionalFormatting>
  <conditionalFormatting sqref="G22:G28">
    <cfRule type="expression" priority="2" dxfId="0" stopIfTrue="1">
      <formula>IF(SUM($G$22:$G$28)&gt;$G$20,TRUE(),FALSE())</formula>
    </cfRule>
  </conditionalFormatting>
  <conditionalFormatting sqref="G10:G16">
    <cfRule type="expression" priority="3" dxfId="0" stopIfTrue="1">
      <formula>IF(SUM($G$10:$G$16)&gt;1,TRUE(),FALSE())</formula>
    </cfRule>
  </conditionalFormatting>
  <conditionalFormatting sqref="G53:G56">
    <cfRule type="expression" priority="4" dxfId="0" stopIfTrue="1">
      <formula>IF(SUM($G$53:$G$56)&gt;$G$52,TRUE(),FALSE())</formula>
    </cfRule>
  </conditionalFormatting>
  <conditionalFormatting sqref="G58:G63">
    <cfRule type="expression" priority="5" dxfId="0" stopIfTrue="1">
      <formula>IF(SUM($G$58:$G$63)&gt;$G$57,TRUE(),FALSE())</formula>
    </cfRule>
  </conditionalFormatting>
  <printOptions/>
  <pageMargins left="0.787401575" right="0.787401575" top="0.63" bottom="0.97" header="0.4921259845" footer="0.4921259845"/>
  <pageSetup fitToHeight="10"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sheetPr>
    <tabColor indexed="51"/>
  </sheetPr>
  <dimension ref="B2:P151"/>
  <sheetViews>
    <sheetView tabSelected="1" view="pageBreakPreview" zoomScaleNormal="70" zoomScaleSheetLayoutView="100" zoomScalePageLayoutView="55" workbookViewId="0" topLeftCell="A1">
      <selection activeCell="A1" sqref="A1"/>
    </sheetView>
  </sheetViews>
  <sheetFormatPr defaultColWidth="11.421875" defaultRowHeight="12.75"/>
  <cols>
    <col min="1" max="1" width="2.8515625" style="10" customWidth="1"/>
    <col min="2" max="2" width="1.421875" style="10" customWidth="1"/>
    <col min="3" max="3" width="25.28125" style="10" customWidth="1"/>
    <col min="4" max="4" width="11.421875" style="10" customWidth="1"/>
    <col min="5" max="5" width="17.7109375" style="123" customWidth="1"/>
    <col min="6" max="6" width="11.421875" style="123" customWidth="1"/>
    <col min="7" max="7" width="11.421875" style="10" customWidth="1"/>
    <col min="8" max="8" width="13.28125" style="10" customWidth="1"/>
    <col min="9" max="9" width="2.8515625" style="10" customWidth="1"/>
    <col min="10" max="14" width="11.421875" style="10" customWidth="1"/>
    <col min="15" max="15" width="11.421875" style="124" customWidth="1"/>
    <col min="16" max="16" width="1.421875" style="10" customWidth="1"/>
    <col min="17" max="16384" width="11.421875" style="10" customWidth="1"/>
  </cols>
  <sheetData>
    <row r="1" ht="15" customHeight="1"/>
    <row r="2" spans="2:16" ht="7.5" customHeight="1">
      <c r="B2" s="117"/>
      <c r="C2" s="118"/>
      <c r="D2" s="118"/>
      <c r="E2" s="125"/>
      <c r="F2" s="125"/>
      <c r="G2" s="118"/>
      <c r="H2" s="118"/>
      <c r="I2" s="118"/>
      <c r="J2" s="118"/>
      <c r="K2" s="118"/>
      <c r="L2" s="118"/>
      <c r="M2" s="118"/>
      <c r="N2" s="118"/>
      <c r="O2" s="126"/>
      <c r="P2" s="119"/>
    </row>
    <row r="3" spans="2:16" s="98" customFormat="1" ht="18.75">
      <c r="B3" s="127"/>
      <c r="C3" s="28" t="s">
        <v>5</v>
      </c>
      <c r="D3" s="29"/>
      <c r="E3" s="33"/>
      <c r="F3" s="33"/>
      <c r="G3" s="30"/>
      <c r="H3" s="16"/>
      <c r="I3" s="30"/>
      <c r="J3" s="29"/>
      <c r="K3" s="29"/>
      <c r="L3" s="29"/>
      <c r="M3" s="29"/>
      <c r="N3" s="29"/>
      <c r="O3" s="84"/>
      <c r="P3" s="116"/>
    </row>
    <row r="4" spans="2:16" ht="15" customHeight="1">
      <c r="B4" s="105"/>
      <c r="C4" s="1" t="s">
        <v>153</v>
      </c>
      <c r="D4" s="1"/>
      <c r="E4" s="24"/>
      <c r="F4" s="24"/>
      <c r="G4" s="1"/>
      <c r="H4" s="1"/>
      <c r="I4" s="1"/>
      <c r="J4" s="1"/>
      <c r="K4" s="1"/>
      <c r="L4" s="1"/>
      <c r="M4" s="1"/>
      <c r="N4" s="1"/>
      <c r="O4" s="166"/>
      <c r="P4" s="104"/>
    </row>
    <row r="5" spans="2:16" ht="15" customHeight="1">
      <c r="B5" s="105"/>
      <c r="C5" s="1"/>
      <c r="D5" s="1"/>
      <c r="E5" s="24"/>
      <c r="F5" s="24"/>
      <c r="G5" s="1"/>
      <c r="H5" s="1"/>
      <c r="I5" s="1"/>
      <c r="J5" s="1"/>
      <c r="K5" s="1"/>
      <c r="L5" s="1"/>
      <c r="M5" s="1"/>
      <c r="N5" s="1"/>
      <c r="O5" s="85"/>
      <c r="P5" s="104"/>
    </row>
    <row r="6" spans="2:16" s="99" customFormat="1" ht="15" customHeight="1">
      <c r="B6" s="105"/>
      <c r="C6" s="237"/>
      <c r="D6" s="1"/>
      <c r="E6" s="24"/>
      <c r="F6" s="24"/>
      <c r="G6" s="24"/>
      <c r="H6" s="1"/>
      <c r="I6" s="1"/>
      <c r="J6" s="1"/>
      <c r="K6" s="1"/>
      <c r="L6" s="1"/>
      <c r="M6" s="1"/>
      <c r="N6" s="1"/>
      <c r="O6" s="85"/>
      <c r="P6" s="104"/>
    </row>
    <row r="7" spans="2:16" ht="15" customHeight="1">
      <c r="B7" s="105"/>
      <c r="C7" s="189"/>
      <c r="D7" s="1"/>
      <c r="E7" s="24"/>
      <c r="F7" s="24"/>
      <c r="G7" s="238"/>
      <c r="H7" s="1"/>
      <c r="I7" s="1"/>
      <c r="J7" s="1"/>
      <c r="K7" s="1"/>
      <c r="L7" s="1"/>
      <c r="M7" s="1"/>
      <c r="N7" s="1"/>
      <c r="O7" s="85"/>
      <c r="P7" s="104"/>
    </row>
    <row r="8" spans="2:16" ht="15" customHeight="1">
      <c r="B8" s="105"/>
      <c r="C8" s="189"/>
      <c r="D8" s="1"/>
      <c r="E8" s="24"/>
      <c r="F8" s="24"/>
      <c r="G8" s="238"/>
      <c r="H8" s="1"/>
      <c r="I8" s="1"/>
      <c r="J8" s="1"/>
      <c r="K8" s="1"/>
      <c r="L8" s="1"/>
      <c r="M8" s="1"/>
      <c r="N8" s="1"/>
      <c r="O8" s="85"/>
      <c r="P8" s="104"/>
    </row>
    <row r="9" spans="2:16" ht="15" customHeight="1">
      <c r="B9" s="105"/>
      <c r="C9" s="48"/>
      <c r="D9" s="1"/>
      <c r="E9" s="24"/>
      <c r="F9" s="24"/>
      <c r="G9" s="24"/>
      <c r="H9" s="1"/>
      <c r="I9" s="1"/>
      <c r="J9" s="15"/>
      <c r="K9" s="1"/>
      <c r="L9" s="1"/>
      <c r="M9" s="1"/>
      <c r="N9" s="1"/>
      <c r="O9" s="85"/>
      <c r="P9" s="104"/>
    </row>
    <row r="10" spans="2:16" ht="15" customHeight="1">
      <c r="B10" s="105"/>
      <c r="C10" s="14"/>
      <c r="D10" s="1"/>
      <c r="E10" s="24"/>
      <c r="F10" s="24"/>
      <c r="G10" s="239"/>
      <c r="H10" s="1"/>
      <c r="I10" s="1"/>
      <c r="J10" s="1"/>
      <c r="K10" s="1"/>
      <c r="L10" s="1"/>
      <c r="M10" s="1"/>
      <c r="N10" s="1"/>
      <c r="O10" s="85"/>
      <c r="P10" s="104"/>
    </row>
    <row r="11" spans="2:16" ht="15" customHeight="1">
      <c r="B11" s="105"/>
      <c r="C11" s="14"/>
      <c r="D11" s="1"/>
      <c r="E11" s="24"/>
      <c r="F11" s="24"/>
      <c r="G11" s="239"/>
      <c r="H11" s="1"/>
      <c r="I11" s="1"/>
      <c r="J11" s="1"/>
      <c r="K11" s="1"/>
      <c r="L11" s="1"/>
      <c r="M11" s="1"/>
      <c r="N11" s="1"/>
      <c r="O11" s="85"/>
      <c r="P11" s="104"/>
    </row>
    <row r="12" spans="2:16" ht="15" customHeight="1">
      <c r="B12" s="105"/>
      <c r="C12" s="14"/>
      <c r="D12" s="1"/>
      <c r="E12" s="24"/>
      <c r="F12" s="24"/>
      <c r="G12" s="239"/>
      <c r="H12" s="1"/>
      <c r="I12" s="1"/>
      <c r="J12" s="1"/>
      <c r="K12" s="1"/>
      <c r="L12" s="1"/>
      <c r="M12" s="1"/>
      <c r="N12" s="1"/>
      <c r="O12" s="85"/>
      <c r="P12" s="104"/>
    </row>
    <row r="13" spans="2:16" ht="15" customHeight="1">
      <c r="B13" s="105"/>
      <c r="C13" s="14"/>
      <c r="D13" s="1"/>
      <c r="E13" s="24"/>
      <c r="F13" s="24"/>
      <c r="G13" s="239"/>
      <c r="H13" s="1"/>
      <c r="I13" s="1"/>
      <c r="J13" s="1"/>
      <c r="K13" s="1"/>
      <c r="L13" s="1"/>
      <c r="M13" s="1"/>
      <c r="N13" s="1"/>
      <c r="O13" s="85"/>
      <c r="P13" s="104"/>
    </row>
    <row r="14" spans="2:16" ht="15" customHeight="1">
      <c r="B14" s="105"/>
      <c r="C14" s="14"/>
      <c r="D14" s="1"/>
      <c r="E14" s="24"/>
      <c r="F14" s="24"/>
      <c r="G14" s="239"/>
      <c r="H14" s="1"/>
      <c r="I14" s="1"/>
      <c r="J14" s="1"/>
      <c r="K14" s="1"/>
      <c r="L14" s="1"/>
      <c r="M14" s="1"/>
      <c r="N14" s="1"/>
      <c r="O14" s="85"/>
      <c r="P14" s="104"/>
    </row>
    <row r="15" spans="2:16" ht="15" customHeight="1">
      <c r="B15" s="105"/>
      <c r="C15" s="14"/>
      <c r="D15" s="1"/>
      <c r="E15" s="24"/>
      <c r="F15" s="24"/>
      <c r="G15" s="239"/>
      <c r="H15" s="1"/>
      <c r="I15" s="1"/>
      <c r="J15" s="1"/>
      <c r="K15" s="1"/>
      <c r="L15" s="1"/>
      <c r="M15" s="1"/>
      <c r="N15" s="1"/>
      <c r="O15" s="85"/>
      <c r="P15" s="104"/>
    </row>
    <row r="16" spans="2:16" ht="15" customHeight="1">
      <c r="B16" s="105"/>
      <c r="C16" s="14"/>
      <c r="D16" s="1"/>
      <c r="E16" s="24"/>
      <c r="F16" s="24"/>
      <c r="G16" s="239"/>
      <c r="H16" s="1"/>
      <c r="I16" s="1"/>
      <c r="J16" s="1"/>
      <c r="K16" s="1"/>
      <c r="L16" s="1"/>
      <c r="M16" s="1"/>
      <c r="N16" s="1"/>
      <c r="O16" s="85"/>
      <c r="P16" s="104"/>
    </row>
    <row r="17" spans="2:16" ht="15" customHeight="1">
      <c r="B17" s="105"/>
      <c r="C17" s="48"/>
      <c r="D17" s="1"/>
      <c r="E17" s="24"/>
      <c r="F17" s="24"/>
      <c r="G17" s="24"/>
      <c r="H17" s="1"/>
      <c r="I17" s="1"/>
      <c r="J17" s="1"/>
      <c r="K17" s="1"/>
      <c r="L17" s="1"/>
      <c r="M17" s="1"/>
      <c r="N17" s="1"/>
      <c r="O17" s="85"/>
      <c r="P17" s="104"/>
    </row>
    <row r="18" spans="2:16" ht="15" customHeight="1">
      <c r="B18" s="105"/>
      <c r="C18" s="1"/>
      <c r="D18" s="1"/>
      <c r="E18" s="24"/>
      <c r="F18" s="24"/>
      <c r="G18" s="24"/>
      <c r="H18" s="1"/>
      <c r="I18" s="1"/>
      <c r="J18" s="1"/>
      <c r="K18" s="1"/>
      <c r="L18" s="1"/>
      <c r="M18" s="1"/>
      <c r="N18" s="1"/>
      <c r="O18" s="85"/>
      <c r="P18" s="104"/>
    </row>
    <row r="19" spans="2:16" s="99" customFormat="1" ht="15" customHeight="1">
      <c r="B19" s="105"/>
      <c r="C19" s="237"/>
      <c r="D19" s="1"/>
      <c r="E19" s="24"/>
      <c r="F19" s="24"/>
      <c r="G19" s="24"/>
      <c r="H19" s="1"/>
      <c r="I19" s="1"/>
      <c r="J19" s="1"/>
      <c r="K19" s="1"/>
      <c r="L19" s="1"/>
      <c r="M19" s="1"/>
      <c r="N19" s="1"/>
      <c r="O19" s="85"/>
      <c r="P19" s="104"/>
    </row>
    <row r="20" spans="2:16" ht="15" customHeight="1">
      <c r="B20" s="105"/>
      <c r="C20" s="189"/>
      <c r="D20" s="1"/>
      <c r="E20" s="24"/>
      <c r="F20" s="24"/>
      <c r="G20" s="238"/>
      <c r="H20" s="1"/>
      <c r="I20" s="1"/>
      <c r="J20" s="1"/>
      <c r="K20" s="1"/>
      <c r="L20" s="1"/>
      <c r="M20" s="1"/>
      <c r="N20" s="1"/>
      <c r="O20" s="85"/>
      <c r="P20" s="104"/>
    </row>
    <row r="21" spans="2:16" ht="15" customHeight="1">
      <c r="B21" s="105"/>
      <c r="C21" s="48"/>
      <c r="D21" s="1"/>
      <c r="E21" s="24"/>
      <c r="F21" s="24"/>
      <c r="G21" s="24"/>
      <c r="H21" s="1"/>
      <c r="I21" s="1"/>
      <c r="J21" s="1"/>
      <c r="K21" s="1"/>
      <c r="L21" s="1"/>
      <c r="M21" s="1"/>
      <c r="N21" s="1"/>
      <c r="O21" s="85"/>
      <c r="P21" s="104"/>
    </row>
    <row r="22" spans="2:16" ht="15" customHeight="1">
      <c r="B22" s="105"/>
      <c r="C22" s="14"/>
      <c r="D22" s="1"/>
      <c r="E22" s="24"/>
      <c r="F22" s="24"/>
      <c r="G22" s="240"/>
      <c r="H22" s="1"/>
      <c r="I22" s="1"/>
      <c r="J22" s="15"/>
      <c r="K22" s="1"/>
      <c r="L22" s="1"/>
      <c r="M22" s="1"/>
      <c r="N22" s="1"/>
      <c r="O22" s="85"/>
      <c r="P22" s="104"/>
    </row>
    <row r="23" spans="2:16" ht="15" customHeight="1">
      <c r="B23" s="105"/>
      <c r="C23" s="14"/>
      <c r="D23" s="1"/>
      <c r="E23" s="24"/>
      <c r="F23" s="24"/>
      <c r="G23" s="240"/>
      <c r="H23" s="1"/>
      <c r="I23" s="1"/>
      <c r="J23" s="1"/>
      <c r="K23" s="1"/>
      <c r="L23" s="1"/>
      <c r="M23" s="1"/>
      <c r="N23" s="1"/>
      <c r="O23" s="85"/>
      <c r="P23" s="104"/>
    </row>
    <row r="24" spans="2:16" ht="15" customHeight="1">
      <c r="B24" s="105"/>
      <c r="C24" s="14"/>
      <c r="D24" s="1"/>
      <c r="E24" s="24"/>
      <c r="F24" s="24"/>
      <c r="G24" s="240"/>
      <c r="H24" s="1"/>
      <c r="I24" s="1"/>
      <c r="J24" s="1"/>
      <c r="K24" s="1"/>
      <c r="L24" s="1"/>
      <c r="M24" s="1"/>
      <c r="N24" s="1"/>
      <c r="O24" s="85"/>
      <c r="P24" s="104"/>
    </row>
    <row r="25" spans="2:16" ht="15" customHeight="1">
      <c r="B25" s="105"/>
      <c r="C25" s="14"/>
      <c r="D25" s="1"/>
      <c r="E25" s="24"/>
      <c r="F25" s="24"/>
      <c r="G25" s="240"/>
      <c r="H25" s="1"/>
      <c r="I25" s="1"/>
      <c r="J25" s="1"/>
      <c r="K25" s="1"/>
      <c r="L25" s="1"/>
      <c r="M25" s="1"/>
      <c r="N25" s="1"/>
      <c r="O25" s="85"/>
      <c r="P25" s="104"/>
    </row>
    <row r="26" spans="2:16" ht="15" customHeight="1">
      <c r="B26" s="105"/>
      <c r="C26" s="14"/>
      <c r="D26" s="1"/>
      <c r="E26" s="24"/>
      <c r="F26" s="24"/>
      <c r="G26" s="240"/>
      <c r="H26" s="1"/>
      <c r="I26" s="1"/>
      <c r="J26" s="1"/>
      <c r="K26" s="1"/>
      <c r="L26" s="1"/>
      <c r="M26" s="1"/>
      <c r="N26" s="1"/>
      <c r="O26" s="85"/>
      <c r="P26" s="104"/>
    </row>
    <row r="27" spans="2:16" ht="15" customHeight="1">
      <c r="B27" s="105"/>
      <c r="C27" s="14"/>
      <c r="D27" s="1"/>
      <c r="E27" s="24"/>
      <c r="F27" s="24"/>
      <c r="G27" s="240"/>
      <c r="H27" s="1"/>
      <c r="I27" s="1"/>
      <c r="J27" s="1"/>
      <c r="K27" s="1"/>
      <c r="L27" s="1"/>
      <c r="M27" s="1"/>
      <c r="N27" s="1"/>
      <c r="O27" s="85"/>
      <c r="P27" s="104"/>
    </row>
    <row r="28" spans="2:16" ht="15" customHeight="1">
      <c r="B28" s="105"/>
      <c r="C28" s="14"/>
      <c r="D28" s="1"/>
      <c r="E28" s="24"/>
      <c r="F28" s="24"/>
      <c r="G28" s="240"/>
      <c r="H28" s="1"/>
      <c r="I28" s="1"/>
      <c r="J28" s="1"/>
      <c r="K28" s="1"/>
      <c r="L28" s="1"/>
      <c r="M28" s="1"/>
      <c r="N28" s="1"/>
      <c r="O28" s="85"/>
      <c r="P28" s="104"/>
    </row>
    <row r="29" spans="2:16" ht="15" customHeight="1">
      <c r="B29" s="105"/>
      <c r="C29" s="14"/>
      <c r="D29" s="1"/>
      <c r="E29" s="24"/>
      <c r="F29" s="24"/>
      <c r="G29" s="240"/>
      <c r="H29" s="1"/>
      <c r="I29" s="1"/>
      <c r="J29" s="1"/>
      <c r="K29" s="1"/>
      <c r="L29" s="1"/>
      <c r="M29" s="1"/>
      <c r="N29" s="1"/>
      <c r="O29" s="85"/>
      <c r="P29" s="104"/>
    </row>
    <row r="30" spans="2:16" ht="15" customHeight="1">
      <c r="B30" s="105"/>
      <c r="C30" s="14"/>
      <c r="D30" s="1"/>
      <c r="E30" s="24"/>
      <c r="F30" s="24"/>
      <c r="G30" s="240"/>
      <c r="H30" s="1"/>
      <c r="I30" s="1"/>
      <c r="J30" s="1"/>
      <c r="K30" s="1"/>
      <c r="L30" s="1"/>
      <c r="M30" s="1"/>
      <c r="N30" s="1"/>
      <c r="O30" s="85"/>
      <c r="P30" s="104"/>
    </row>
    <row r="31" spans="2:16" ht="15" customHeight="1">
      <c r="B31" s="105"/>
      <c r="C31" s="14"/>
      <c r="D31" s="1"/>
      <c r="E31" s="24"/>
      <c r="F31" s="24"/>
      <c r="G31" s="240"/>
      <c r="H31" s="1"/>
      <c r="I31" s="1"/>
      <c r="J31" s="1"/>
      <c r="K31" s="1"/>
      <c r="L31" s="1"/>
      <c r="M31" s="1"/>
      <c r="N31" s="1"/>
      <c r="O31" s="85"/>
      <c r="P31" s="104"/>
    </row>
    <row r="32" spans="2:16" ht="19.5" customHeight="1">
      <c r="B32" s="105"/>
      <c r="C32" s="1"/>
      <c r="D32" s="1"/>
      <c r="E32" s="24"/>
      <c r="F32" s="24"/>
      <c r="G32" s="1"/>
      <c r="H32" s="1"/>
      <c r="I32" s="1"/>
      <c r="J32" s="1"/>
      <c r="K32" s="1"/>
      <c r="L32" s="1"/>
      <c r="M32" s="1"/>
      <c r="N32" s="1"/>
      <c r="O32" s="85"/>
      <c r="P32" s="104"/>
    </row>
    <row r="33" spans="2:16" s="99" customFormat="1" ht="15" customHeight="1">
      <c r="B33" s="105"/>
      <c r="C33" s="237"/>
      <c r="D33" s="1"/>
      <c r="E33" s="24"/>
      <c r="F33" s="24"/>
      <c r="G33" s="24"/>
      <c r="H33" s="1"/>
      <c r="I33" s="1"/>
      <c r="J33" s="1"/>
      <c r="K33" s="1"/>
      <c r="L33" s="1"/>
      <c r="M33" s="1"/>
      <c r="N33" s="1"/>
      <c r="O33" s="85"/>
      <c r="P33" s="104"/>
    </row>
    <row r="34" spans="2:16" ht="15" customHeight="1">
      <c r="B34" s="105"/>
      <c r="C34" s="189"/>
      <c r="D34" s="1"/>
      <c r="E34" s="24"/>
      <c r="F34" s="24"/>
      <c r="G34" s="238"/>
      <c r="H34" s="1"/>
      <c r="I34" s="1"/>
      <c r="J34" s="1"/>
      <c r="K34" s="1"/>
      <c r="L34" s="1"/>
      <c r="M34" s="1"/>
      <c r="N34" s="1"/>
      <c r="O34" s="85"/>
      <c r="P34" s="104"/>
    </row>
    <row r="35" spans="2:16" ht="15" customHeight="1">
      <c r="B35" s="105"/>
      <c r="C35" s="48"/>
      <c r="D35" s="1"/>
      <c r="E35" s="24"/>
      <c r="F35" s="24"/>
      <c r="G35" s="24"/>
      <c r="H35" s="1"/>
      <c r="I35" s="1"/>
      <c r="J35" s="1"/>
      <c r="K35" s="1"/>
      <c r="L35" s="1"/>
      <c r="M35" s="1"/>
      <c r="N35" s="1"/>
      <c r="O35" s="85"/>
      <c r="P35" s="104"/>
    </row>
    <row r="36" spans="2:16" ht="15" customHeight="1">
      <c r="B36" s="105"/>
      <c r="C36" s="14"/>
      <c r="D36" s="1"/>
      <c r="E36" s="24"/>
      <c r="F36" s="24"/>
      <c r="G36" s="240"/>
      <c r="H36" s="1"/>
      <c r="I36" s="1"/>
      <c r="J36" s="15"/>
      <c r="K36" s="1"/>
      <c r="L36" s="1"/>
      <c r="M36" s="1"/>
      <c r="N36" s="1"/>
      <c r="O36" s="85"/>
      <c r="P36" s="104"/>
    </row>
    <row r="37" spans="2:16" ht="15" customHeight="1">
      <c r="B37" s="105"/>
      <c r="C37" s="14"/>
      <c r="D37" s="1"/>
      <c r="E37" s="24"/>
      <c r="F37" s="24"/>
      <c r="G37" s="240"/>
      <c r="H37" s="1"/>
      <c r="I37" s="1"/>
      <c r="J37" s="1"/>
      <c r="K37" s="1"/>
      <c r="L37" s="1"/>
      <c r="M37" s="1"/>
      <c r="N37" s="1"/>
      <c r="O37" s="85"/>
      <c r="P37" s="104"/>
    </row>
    <row r="38" spans="2:16" ht="15" customHeight="1">
      <c r="B38" s="105"/>
      <c r="C38" s="14"/>
      <c r="D38" s="1"/>
      <c r="E38" s="24"/>
      <c r="F38" s="24"/>
      <c r="G38" s="240"/>
      <c r="H38" s="1"/>
      <c r="I38" s="1"/>
      <c r="J38" s="1"/>
      <c r="K38" s="1"/>
      <c r="L38" s="1"/>
      <c r="M38" s="1"/>
      <c r="N38" s="1"/>
      <c r="O38" s="85"/>
      <c r="P38" s="104"/>
    </row>
    <row r="39" spans="2:16" ht="15" customHeight="1">
      <c r="B39" s="105"/>
      <c r="C39" s="14"/>
      <c r="D39" s="1"/>
      <c r="E39" s="24"/>
      <c r="F39" s="24"/>
      <c r="G39" s="240"/>
      <c r="H39" s="1"/>
      <c r="I39" s="1"/>
      <c r="J39" s="1"/>
      <c r="K39" s="1"/>
      <c r="L39" s="1"/>
      <c r="M39" s="1"/>
      <c r="N39" s="1"/>
      <c r="O39" s="85"/>
      <c r="P39" s="104"/>
    </row>
    <row r="40" spans="2:16" ht="15" customHeight="1">
      <c r="B40" s="105"/>
      <c r="C40" s="14"/>
      <c r="D40" s="1"/>
      <c r="E40" s="24"/>
      <c r="F40" s="24"/>
      <c r="G40" s="240"/>
      <c r="H40" s="1"/>
      <c r="I40" s="1"/>
      <c r="J40" s="1"/>
      <c r="K40" s="1"/>
      <c r="L40" s="1"/>
      <c r="M40" s="1"/>
      <c r="N40" s="1"/>
      <c r="O40" s="85"/>
      <c r="P40" s="104"/>
    </row>
    <row r="41" spans="2:16" ht="15" customHeight="1">
      <c r="B41" s="105"/>
      <c r="C41" s="14"/>
      <c r="D41" s="1"/>
      <c r="E41" s="24"/>
      <c r="F41" s="24"/>
      <c r="G41" s="240"/>
      <c r="H41" s="1"/>
      <c r="I41" s="1"/>
      <c r="J41" s="1"/>
      <c r="K41" s="1"/>
      <c r="L41" s="1"/>
      <c r="M41" s="1"/>
      <c r="N41" s="1"/>
      <c r="O41" s="85"/>
      <c r="P41" s="104"/>
    </row>
    <row r="42" spans="2:16" ht="15" customHeight="1">
      <c r="B42" s="105"/>
      <c r="C42" s="14"/>
      <c r="D42" s="1"/>
      <c r="E42" s="24"/>
      <c r="F42" s="24"/>
      <c r="G42" s="240"/>
      <c r="H42" s="1"/>
      <c r="I42" s="1"/>
      <c r="J42" s="1"/>
      <c r="K42" s="1"/>
      <c r="L42" s="1"/>
      <c r="M42" s="1"/>
      <c r="N42" s="1"/>
      <c r="O42" s="85"/>
      <c r="P42" s="104"/>
    </row>
    <row r="43" spans="2:16" ht="15" customHeight="1">
      <c r="B43" s="105"/>
      <c r="C43" s="14"/>
      <c r="D43" s="1"/>
      <c r="E43" s="24"/>
      <c r="F43" s="24"/>
      <c r="G43" s="240"/>
      <c r="H43" s="1"/>
      <c r="I43" s="1"/>
      <c r="J43" s="1"/>
      <c r="K43" s="1"/>
      <c r="L43" s="1"/>
      <c r="M43" s="1"/>
      <c r="N43" s="1"/>
      <c r="O43" s="85"/>
      <c r="P43" s="104"/>
    </row>
    <row r="44" spans="2:16" ht="15" customHeight="1">
      <c r="B44" s="105"/>
      <c r="C44" s="14"/>
      <c r="D44" s="1"/>
      <c r="E44" s="24"/>
      <c r="F44" s="24"/>
      <c r="G44" s="240"/>
      <c r="H44" s="1"/>
      <c r="I44" s="1"/>
      <c r="J44" s="1"/>
      <c r="K44" s="1"/>
      <c r="L44" s="1"/>
      <c r="M44" s="1"/>
      <c r="N44" s="1"/>
      <c r="O44" s="85"/>
      <c r="P44" s="104"/>
    </row>
    <row r="45" spans="2:16" ht="15" customHeight="1">
      <c r="B45" s="105"/>
      <c r="C45" s="14"/>
      <c r="D45" s="1"/>
      <c r="E45" s="24"/>
      <c r="F45" s="24"/>
      <c r="G45" s="240"/>
      <c r="H45" s="1"/>
      <c r="I45" s="1"/>
      <c r="J45" s="1"/>
      <c r="K45" s="1"/>
      <c r="L45" s="1"/>
      <c r="M45" s="1"/>
      <c r="N45" s="1"/>
      <c r="O45" s="85"/>
      <c r="P45" s="104"/>
    </row>
    <row r="46" spans="2:16" ht="15" customHeight="1">
      <c r="B46" s="105"/>
      <c r="C46" s="14"/>
      <c r="D46" s="1"/>
      <c r="E46" s="24"/>
      <c r="F46" s="24"/>
      <c r="G46" s="240"/>
      <c r="H46" s="1"/>
      <c r="I46" s="1"/>
      <c r="J46" s="1"/>
      <c r="K46" s="1"/>
      <c r="L46" s="1"/>
      <c r="M46" s="1"/>
      <c r="N46" s="1"/>
      <c r="O46" s="85"/>
      <c r="P46" s="104"/>
    </row>
    <row r="47" spans="2:16" s="98" customFormat="1" ht="18.75">
      <c r="B47" s="127"/>
      <c r="C47" s="28" t="s">
        <v>5</v>
      </c>
      <c r="D47" s="29"/>
      <c r="E47" s="33"/>
      <c r="F47" s="33"/>
      <c r="G47" s="30"/>
      <c r="H47" s="16"/>
      <c r="I47" s="30"/>
      <c r="J47" s="29"/>
      <c r="K47" s="29"/>
      <c r="L47" s="29"/>
      <c r="M47" s="29"/>
      <c r="N47" s="29"/>
      <c r="O47" s="84"/>
      <c r="P47" s="116"/>
    </row>
    <row r="48" spans="2:16" ht="15" customHeight="1">
      <c r="B48" s="105"/>
      <c r="C48" s="1" t="s">
        <v>165</v>
      </c>
      <c r="D48" s="1"/>
      <c r="E48" s="24"/>
      <c r="F48" s="24"/>
      <c r="G48" s="1"/>
      <c r="H48" s="1"/>
      <c r="I48" s="1"/>
      <c r="J48" s="1"/>
      <c r="K48" s="1"/>
      <c r="L48" s="1"/>
      <c r="M48" s="1"/>
      <c r="N48" s="1"/>
      <c r="O48" s="166"/>
      <c r="P48" s="104"/>
    </row>
    <row r="49" spans="2:16" ht="15" customHeight="1">
      <c r="B49" s="105"/>
      <c r="C49" s="14"/>
      <c r="D49" s="1"/>
      <c r="E49" s="24"/>
      <c r="F49" s="24"/>
      <c r="G49" s="240"/>
      <c r="H49" s="1"/>
      <c r="I49" s="1"/>
      <c r="J49" s="1"/>
      <c r="K49" s="1"/>
      <c r="L49" s="1"/>
      <c r="M49" s="1"/>
      <c r="N49" s="1"/>
      <c r="O49" s="85"/>
      <c r="P49" s="104"/>
    </row>
    <row r="50" spans="2:16" ht="15" customHeight="1">
      <c r="B50" s="105"/>
      <c r="C50" s="1"/>
      <c r="D50" s="1"/>
      <c r="E50" s="24"/>
      <c r="F50" s="24"/>
      <c r="G50" s="138"/>
      <c r="H50" s="1"/>
      <c r="I50" s="1"/>
      <c r="J50" s="1"/>
      <c r="K50" s="1"/>
      <c r="L50" s="1"/>
      <c r="M50" s="1"/>
      <c r="N50" s="1"/>
      <c r="O50" s="85"/>
      <c r="P50" s="104"/>
    </row>
    <row r="51" spans="2:16" s="99" customFormat="1" ht="15" customHeight="1">
      <c r="B51" s="105"/>
      <c r="C51" s="237"/>
      <c r="D51" s="1"/>
      <c r="E51" s="24"/>
      <c r="F51" s="24"/>
      <c r="G51" s="24"/>
      <c r="H51" s="1"/>
      <c r="I51" s="1"/>
      <c r="J51" s="1"/>
      <c r="K51" s="1"/>
      <c r="L51" s="1"/>
      <c r="M51" s="1"/>
      <c r="N51" s="1"/>
      <c r="O51" s="85"/>
      <c r="P51" s="104"/>
    </row>
    <row r="52" spans="2:16" ht="15" customHeight="1">
      <c r="B52" s="105"/>
      <c r="C52" s="128"/>
      <c r="D52" s="1"/>
      <c r="E52" s="24"/>
      <c r="F52" s="24"/>
      <c r="G52" s="73"/>
      <c r="H52" s="1"/>
      <c r="I52" s="1"/>
      <c r="J52" s="121"/>
      <c r="K52" s="1"/>
      <c r="L52" s="1"/>
      <c r="M52" s="1"/>
      <c r="N52" s="1"/>
      <c r="O52" s="85"/>
      <c r="P52" s="104"/>
    </row>
    <row r="53" spans="2:16" ht="15" customHeight="1">
      <c r="B53" s="105"/>
      <c r="C53" s="191"/>
      <c r="D53" s="1"/>
      <c r="E53" s="24"/>
      <c r="F53" s="24"/>
      <c r="G53" s="241"/>
      <c r="H53" s="1"/>
      <c r="I53" s="1"/>
      <c r="J53" s="121"/>
      <c r="K53" s="1"/>
      <c r="L53" s="1"/>
      <c r="M53" s="1"/>
      <c r="N53" s="1"/>
      <c r="O53" s="85"/>
      <c r="P53" s="104"/>
    </row>
    <row r="54" spans="2:16" ht="15" customHeight="1">
      <c r="B54" s="105"/>
      <c r="C54" s="191"/>
      <c r="D54" s="1"/>
      <c r="E54" s="24"/>
      <c r="F54" s="24"/>
      <c r="G54" s="241"/>
      <c r="H54" s="1"/>
      <c r="I54" s="1"/>
      <c r="J54" s="121"/>
      <c r="K54" s="1"/>
      <c r="L54" s="1"/>
      <c r="M54" s="1"/>
      <c r="N54" s="1"/>
      <c r="O54" s="85"/>
      <c r="P54" s="104"/>
    </row>
    <row r="55" spans="2:16" ht="15" customHeight="1">
      <c r="B55" s="105"/>
      <c r="C55" s="191"/>
      <c r="D55" s="1"/>
      <c r="E55" s="24"/>
      <c r="F55" s="24"/>
      <c r="G55" s="241"/>
      <c r="H55" s="1"/>
      <c r="I55" s="1"/>
      <c r="J55" s="121"/>
      <c r="K55" s="1"/>
      <c r="L55" s="1"/>
      <c r="M55" s="1"/>
      <c r="N55" s="1"/>
      <c r="O55" s="85"/>
      <c r="P55" s="104"/>
    </row>
    <row r="56" spans="2:16" ht="15" customHeight="1">
      <c r="B56" s="105"/>
      <c r="C56" s="191"/>
      <c r="D56" s="1"/>
      <c r="E56" s="24"/>
      <c r="F56" s="24"/>
      <c r="G56" s="241"/>
      <c r="H56" s="1"/>
      <c r="I56" s="1"/>
      <c r="J56" s="121"/>
      <c r="K56" s="1"/>
      <c r="L56" s="1"/>
      <c r="M56" s="1"/>
      <c r="N56" s="1"/>
      <c r="O56" s="85"/>
      <c r="P56" s="104"/>
    </row>
    <row r="57" spans="2:16" ht="15" customHeight="1">
      <c r="B57" s="105"/>
      <c r="C57" s="128"/>
      <c r="D57" s="1"/>
      <c r="E57" s="24"/>
      <c r="F57" s="24"/>
      <c r="G57" s="73"/>
      <c r="H57" s="1"/>
      <c r="I57" s="1"/>
      <c r="J57" s="121"/>
      <c r="K57" s="1"/>
      <c r="L57" s="1"/>
      <c r="M57" s="1"/>
      <c r="N57" s="1"/>
      <c r="O57" s="85"/>
      <c r="P57" s="104"/>
    </row>
    <row r="58" spans="2:16" ht="15" customHeight="1">
      <c r="B58" s="105"/>
      <c r="C58" s="191"/>
      <c r="D58" s="1"/>
      <c r="E58" s="24"/>
      <c r="F58" s="24"/>
      <c r="G58" s="241"/>
      <c r="H58" s="1"/>
      <c r="I58" s="1"/>
      <c r="J58" s="121"/>
      <c r="K58" s="1"/>
      <c r="L58" s="1"/>
      <c r="M58" s="1"/>
      <c r="N58" s="1"/>
      <c r="O58" s="85"/>
      <c r="P58" s="104"/>
    </row>
    <row r="59" spans="2:16" ht="15" customHeight="1">
      <c r="B59" s="105"/>
      <c r="C59" s="191"/>
      <c r="D59" s="1"/>
      <c r="E59" s="24"/>
      <c r="F59" s="24"/>
      <c r="G59" s="241"/>
      <c r="H59" s="1"/>
      <c r="I59" s="1"/>
      <c r="J59" s="121"/>
      <c r="K59" s="1"/>
      <c r="L59" s="1"/>
      <c r="M59" s="1"/>
      <c r="N59" s="1"/>
      <c r="O59" s="85"/>
      <c r="P59" s="104"/>
    </row>
    <row r="60" spans="2:16" ht="15" customHeight="1">
      <c r="B60" s="105"/>
      <c r="C60" s="191"/>
      <c r="D60" s="1"/>
      <c r="E60" s="24"/>
      <c r="F60" s="24"/>
      <c r="G60" s="241"/>
      <c r="H60" s="1"/>
      <c r="I60" s="1"/>
      <c r="J60" s="121"/>
      <c r="K60" s="1"/>
      <c r="L60" s="1"/>
      <c r="M60" s="1"/>
      <c r="N60" s="1"/>
      <c r="O60" s="85"/>
      <c r="P60" s="104"/>
    </row>
    <row r="61" spans="2:16" ht="15" customHeight="1">
      <c r="B61" s="105"/>
      <c r="C61" s="191"/>
      <c r="D61" s="1"/>
      <c r="E61" s="24"/>
      <c r="F61" s="24"/>
      <c r="G61" s="241"/>
      <c r="H61" s="1"/>
      <c r="I61" s="1"/>
      <c r="J61" s="121"/>
      <c r="K61" s="1"/>
      <c r="L61" s="1"/>
      <c r="M61" s="1"/>
      <c r="N61" s="1"/>
      <c r="O61" s="85"/>
      <c r="P61" s="104"/>
    </row>
    <row r="62" spans="2:16" ht="15" customHeight="1">
      <c r="B62" s="105"/>
      <c r="C62" s="191"/>
      <c r="D62" s="1"/>
      <c r="E62" s="24"/>
      <c r="F62" s="24"/>
      <c r="G62" s="241"/>
      <c r="H62" s="1"/>
      <c r="I62" s="1"/>
      <c r="J62" s="121"/>
      <c r="K62" s="1"/>
      <c r="L62" s="1"/>
      <c r="M62" s="1"/>
      <c r="N62" s="1"/>
      <c r="O62" s="85"/>
      <c r="P62" s="104"/>
    </row>
    <row r="63" spans="2:16" ht="12.75">
      <c r="B63" s="105"/>
      <c r="C63" s="191"/>
      <c r="D63" s="1"/>
      <c r="E63" s="24"/>
      <c r="F63" s="24"/>
      <c r="G63" s="241"/>
      <c r="H63" s="1"/>
      <c r="I63" s="1"/>
      <c r="J63" s="1"/>
      <c r="K63" s="1"/>
      <c r="L63" s="1"/>
      <c r="M63" s="1"/>
      <c r="N63" s="1"/>
      <c r="O63" s="85"/>
      <c r="P63" s="104"/>
    </row>
    <row r="64" spans="2:16" ht="35.25" customHeight="1">
      <c r="B64" s="105"/>
      <c r="C64" s="1"/>
      <c r="D64" s="1"/>
      <c r="E64" s="24"/>
      <c r="F64" s="24"/>
      <c r="G64" s="1"/>
      <c r="H64" s="1"/>
      <c r="I64" s="1"/>
      <c r="J64" s="1"/>
      <c r="K64" s="1"/>
      <c r="L64" s="1"/>
      <c r="M64" s="1"/>
      <c r="N64" s="1"/>
      <c r="O64" s="85"/>
      <c r="P64" s="104"/>
    </row>
    <row r="65" spans="2:16" s="99" customFormat="1" ht="15" customHeight="1">
      <c r="B65" s="105"/>
      <c r="C65" s="237"/>
      <c r="D65" s="1"/>
      <c r="E65" s="24"/>
      <c r="F65" s="24"/>
      <c r="G65" s="24"/>
      <c r="H65" s="24"/>
      <c r="I65" s="24"/>
      <c r="J65" s="24"/>
      <c r="K65" s="1"/>
      <c r="L65" s="1"/>
      <c r="M65" s="1"/>
      <c r="N65" s="1"/>
      <c r="O65" s="85"/>
      <c r="P65" s="104"/>
    </row>
    <row r="66" spans="2:16" s="99" customFormat="1" ht="15" customHeight="1">
      <c r="B66" s="105"/>
      <c r="C66" s="14"/>
      <c r="D66" s="1"/>
      <c r="E66" s="24"/>
      <c r="F66" s="222"/>
      <c r="G66" s="24"/>
      <c r="H66" s="1"/>
      <c r="I66" s="1"/>
      <c r="J66" s="222"/>
      <c r="K66" s="1"/>
      <c r="L66" s="1"/>
      <c r="M66" s="1"/>
      <c r="N66" s="1"/>
      <c r="O66" s="85"/>
      <c r="P66" s="104"/>
    </row>
    <row r="67" spans="2:16" s="99" customFormat="1" ht="15" customHeight="1">
      <c r="B67" s="105"/>
      <c r="C67" s="14"/>
      <c r="D67" s="1"/>
      <c r="E67" s="24"/>
      <c r="F67" s="222"/>
      <c r="G67" s="24"/>
      <c r="H67" s="1"/>
      <c r="I67" s="1"/>
      <c r="J67" s="222"/>
      <c r="K67" s="1"/>
      <c r="L67" s="1"/>
      <c r="M67" s="1"/>
      <c r="N67" s="1"/>
      <c r="O67" s="85"/>
      <c r="P67" s="104"/>
    </row>
    <row r="68" spans="2:16" ht="15" customHeight="1">
      <c r="B68" s="105"/>
      <c r="C68" s="14"/>
      <c r="D68" s="1"/>
      <c r="E68" s="24"/>
      <c r="F68" s="222"/>
      <c r="G68" s="1"/>
      <c r="H68" s="1"/>
      <c r="I68" s="1"/>
      <c r="J68" s="222"/>
      <c r="K68" s="1"/>
      <c r="L68" s="1"/>
      <c r="M68" s="1"/>
      <c r="N68" s="1"/>
      <c r="O68" s="85"/>
      <c r="P68" s="104"/>
    </row>
    <row r="69" spans="2:16" ht="15" customHeight="1">
      <c r="B69" s="105"/>
      <c r="C69" s="14"/>
      <c r="D69" s="1"/>
      <c r="E69" s="24"/>
      <c r="F69" s="222"/>
      <c r="G69" s="1"/>
      <c r="H69" s="1"/>
      <c r="I69" s="1"/>
      <c r="J69" s="222"/>
      <c r="K69" s="1"/>
      <c r="L69" s="1"/>
      <c r="M69" s="1"/>
      <c r="N69" s="1"/>
      <c r="O69" s="85"/>
      <c r="P69" s="104"/>
    </row>
    <row r="70" spans="2:16" s="98" customFormat="1" ht="18.75">
      <c r="B70" s="127"/>
      <c r="C70" s="28" t="s">
        <v>5</v>
      </c>
      <c r="D70" s="29"/>
      <c r="E70" s="33"/>
      <c r="F70" s="33"/>
      <c r="G70" s="30"/>
      <c r="H70" s="16"/>
      <c r="I70" s="30"/>
      <c r="J70" s="29"/>
      <c r="K70" s="29"/>
      <c r="L70" s="29"/>
      <c r="M70" s="29"/>
      <c r="N70" s="29"/>
      <c r="O70" s="84"/>
      <c r="P70" s="116"/>
    </row>
    <row r="71" spans="2:16" ht="15" customHeight="1">
      <c r="B71" s="105"/>
      <c r="C71" s="1" t="s">
        <v>168</v>
      </c>
      <c r="D71" s="1"/>
      <c r="E71" s="24"/>
      <c r="F71" s="24"/>
      <c r="G71" s="1"/>
      <c r="H71" s="1"/>
      <c r="I71" s="1"/>
      <c r="J71" s="1"/>
      <c r="K71" s="1"/>
      <c r="L71" s="1"/>
      <c r="M71" s="1"/>
      <c r="N71" s="1"/>
      <c r="O71" s="166"/>
      <c r="P71" s="104"/>
    </row>
    <row r="72" spans="2:16" ht="12.75">
      <c r="B72" s="105"/>
      <c r="C72" s="1"/>
      <c r="D72" s="1"/>
      <c r="E72" s="24"/>
      <c r="F72" s="24"/>
      <c r="G72" s="1"/>
      <c r="H72" s="1"/>
      <c r="I72" s="1"/>
      <c r="J72" s="1"/>
      <c r="K72" s="1"/>
      <c r="L72" s="1"/>
      <c r="M72" s="1"/>
      <c r="N72" s="1"/>
      <c r="O72" s="85"/>
      <c r="P72" s="104"/>
    </row>
    <row r="73" spans="2:16" ht="12.75">
      <c r="B73" s="105"/>
      <c r="C73" s="1"/>
      <c r="D73" s="1"/>
      <c r="E73" s="24"/>
      <c r="F73" s="24"/>
      <c r="G73" s="1"/>
      <c r="H73" s="1"/>
      <c r="I73" s="1"/>
      <c r="J73" s="1"/>
      <c r="K73" s="1"/>
      <c r="L73" s="1"/>
      <c r="M73" s="1"/>
      <c r="N73" s="1"/>
      <c r="O73" s="85"/>
      <c r="P73" s="104"/>
    </row>
    <row r="74" spans="2:16" ht="12.75">
      <c r="B74" s="105"/>
      <c r="C74" s="1"/>
      <c r="D74" s="1"/>
      <c r="E74" s="24"/>
      <c r="F74" s="24"/>
      <c r="G74" s="1"/>
      <c r="H74" s="1"/>
      <c r="I74" s="1"/>
      <c r="J74" s="1"/>
      <c r="K74" s="1"/>
      <c r="L74" s="1"/>
      <c r="M74" s="1"/>
      <c r="N74" s="1"/>
      <c r="O74" s="85"/>
      <c r="P74" s="104"/>
    </row>
    <row r="75" spans="2:16" ht="12.75">
      <c r="B75" s="105"/>
      <c r="C75" s="1"/>
      <c r="D75" s="1"/>
      <c r="E75" s="24"/>
      <c r="F75" s="24"/>
      <c r="G75" s="1"/>
      <c r="H75" s="1"/>
      <c r="I75" s="1"/>
      <c r="J75" s="1"/>
      <c r="K75" s="1"/>
      <c r="L75" s="1"/>
      <c r="M75" s="1"/>
      <c r="N75" s="1"/>
      <c r="O75" s="85"/>
      <c r="P75" s="104"/>
    </row>
    <row r="76" spans="2:16" ht="12.75">
      <c r="B76" s="105"/>
      <c r="C76" s="1"/>
      <c r="D76" s="1"/>
      <c r="E76" s="24"/>
      <c r="F76" s="24"/>
      <c r="G76" s="1"/>
      <c r="H76" s="1"/>
      <c r="I76" s="1"/>
      <c r="J76" s="1"/>
      <c r="K76" s="1"/>
      <c r="L76" s="1"/>
      <c r="M76" s="1"/>
      <c r="N76" s="1"/>
      <c r="O76" s="85"/>
      <c r="P76" s="104"/>
    </row>
    <row r="77" spans="2:16" ht="12.75">
      <c r="B77" s="105"/>
      <c r="C77" s="1"/>
      <c r="D77" s="1"/>
      <c r="E77" s="24"/>
      <c r="F77" s="24"/>
      <c r="G77" s="1"/>
      <c r="H77" s="1"/>
      <c r="I77" s="1"/>
      <c r="J77" s="1"/>
      <c r="K77" s="1"/>
      <c r="L77" s="1"/>
      <c r="M77" s="1"/>
      <c r="N77" s="1"/>
      <c r="O77" s="85"/>
      <c r="P77" s="104"/>
    </row>
    <row r="78" spans="2:16" ht="12.75">
      <c r="B78" s="105"/>
      <c r="C78" s="1"/>
      <c r="D78" s="1"/>
      <c r="E78" s="24"/>
      <c r="F78" s="24"/>
      <c r="G78" s="1"/>
      <c r="H78" s="1"/>
      <c r="I78" s="1"/>
      <c r="J78" s="1"/>
      <c r="K78" s="1"/>
      <c r="L78" s="1"/>
      <c r="M78" s="1"/>
      <c r="N78" s="1"/>
      <c r="O78" s="85"/>
      <c r="P78" s="104"/>
    </row>
    <row r="79" spans="2:16" ht="12.75">
      <c r="B79" s="105"/>
      <c r="C79" s="1"/>
      <c r="D79" s="1"/>
      <c r="E79" s="24"/>
      <c r="F79" s="24"/>
      <c r="G79" s="1"/>
      <c r="H79" s="1"/>
      <c r="I79" s="1"/>
      <c r="J79" s="1"/>
      <c r="K79" s="1"/>
      <c r="L79" s="1"/>
      <c r="M79" s="1"/>
      <c r="N79" s="1"/>
      <c r="O79" s="85"/>
      <c r="P79" s="104"/>
    </row>
    <row r="80" spans="2:16" ht="12.75">
      <c r="B80" s="105"/>
      <c r="C80" s="1"/>
      <c r="D80" s="1"/>
      <c r="E80" s="24"/>
      <c r="F80" s="24"/>
      <c r="G80" s="1"/>
      <c r="H80" s="1"/>
      <c r="I80" s="1"/>
      <c r="J80" s="1"/>
      <c r="K80" s="1"/>
      <c r="L80" s="1"/>
      <c r="M80" s="1"/>
      <c r="N80" s="1"/>
      <c r="O80" s="85"/>
      <c r="P80" s="104"/>
    </row>
    <row r="81" spans="2:16" ht="12.75">
      <c r="B81" s="105"/>
      <c r="C81" s="1"/>
      <c r="D81" s="1"/>
      <c r="E81" s="24"/>
      <c r="F81" s="24"/>
      <c r="G81" s="1"/>
      <c r="H81" s="1"/>
      <c r="I81" s="1"/>
      <c r="J81" s="1"/>
      <c r="K81" s="1"/>
      <c r="L81" s="1"/>
      <c r="M81" s="1"/>
      <c r="N81" s="1"/>
      <c r="O81" s="85"/>
      <c r="P81" s="104"/>
    </row>
    <row r="82" spans="2:16" ht="12.75">
      <c r="B82" s="105"/>
      <c r="C82" s="1"/>
      <c r="D82" s="1"/>
      <c r="E82" s="24"/>
      <c r="F82" s="24"/>
      <c r="G82" s="1"/>
      <c r="H82" s="1"/>
      <c r="I82" s="1"/>
      <c r="J82" s="1"/>
      <c r="K82" s="1"/>
      <c r="L82" s="1"/>
      <c r="M82" s="1"/>
      <c r="N82" s="1"/>
      <c r="O82" s="85"/>
      <c r="P82" s="104"/>
    </row>
    <row r="83" spans="2:16" ht="12.75">
      <c r="B83" s="105"/>
      <c r="C83" s="1"/>
      <c r="D83" s="1"/>
      <c r="E83" s="24"/>
      <c r="F83" s="24"/>
      <c r="G83" s="1"/>
      <c r="H83" s="1"/>
      <c r="I83" s="1"/>
      <c r="J83" s="1"/>
      <c r="K83" s="1"/>
      <c r="L83" s="1"/>
      <c r="M83" s="1"/>
      <c r="N83" s="1"/>
      <c r="O83" s="85"/>
      <c r="P83" s="104"/>
    </row>
    <row r="84" spans="2:16" ht="12.75">
      <c r="B84" s="105"/>
      <c r="C84" s="1"/>
      <c r="D84" s="1"/>
      <c r="E84" s="24"/>
      <c r="F84" s="24"/>
      <c r="G84" s="1"/>
      <c r="H84" s="1"/>
      <c r="I84" s="1"/>
      <c r="J84" s="1"/>
      <c r="K84" s="1"/>
      <c r="L84" s="1"/>
      <c r="M84" s="1"/>
      <c r="N84" s="1"/>
      <c r="O84" s="85"/>
      <c r="P84" s="104"/>
    </row>
    <row r="85" spans="2:16" ht="12.75">
      <c r="B85" s="105"/>
      <c r="C85" s="1"/>
      <c r="D85" s="1"/>
      <c r="E85" s="24"/>
      <c r="F85" s="24"/>
      <c r="G85" s="1"/>
      <c r="H85" s="1"/>
      <c r="I85" s="1"/>
      <c r="J85" s="1"/>
      <c r="K85" s="1"/>
      <c r="L85" s="1"/>
      <c r="M85" s="1"/>
      <c r="N85" s="1"/>
      <c r="O85" s="85"/>
      <c r="P85" s="104"/>
    </row>
    <row r="86" spans="2:16" ht="12.75">
      <c r="B86" s="105"/>
      <c r="C86" s="1"/>
      <c r="D86" s="1"/>
      <c r="E86" s="24"/>
      <c r="F86" s="24"/>
      <c r="G86" s="1"/>
      <c r="H86" s="1"/>
      <c r="I86" s="1"/>
      <c r="J86" s="1"/>
      <c r="K86" s="1"/>
      <c r="L86" s="1"/>
      <c r="M86" s="1"/>
      <c r="N86" s="1"/>
      <c r="O86" s="85"/>
      <c r="P86" s="104"/>
    </row>
    <row r="87" spans="2:16" ht="12.75">
      <c r="B87" s="105"/>
      <c r="C87" s="1"/>
      <c r="D87" s="1"/>
      <c r="E87" s="24"/>
      <c r="F87" s="24"/>
      <c r="G87" s="1"/>
      <c r="H87" s="1"/>
      <c r="I87" s="1"/>
      <c r="J87" s="1"/>
      <c r="K87" s="1"/>
      <c r="L87" s="1"/>
      <c r="M87" s="1"/>
      <c r="N87" s="1"/>
      <c r="O87" s="85"/>
      <c r="P87" s="104"/>
    </row>
    <row r="88" spans="2:16" ht="12.75">
      <c r="B88" s="105"/>
      <c r="C88" s="1"/>
      <c r="D88" s="1"/>
      <c r="E88" s="24"/>
      <c r="F88" s="24"/>
      <c r="G88" s="1"/>
      <c r="H88" s="1"/>
      <c r="I88" s="1"/>
      <c r="J88" s="1"/>
      <c r="K88" s="1"/>
      <c r="L88" s="1"/>
      <c r="M88" s="1"/>
      <c r="N88" s="1"/>
      <c r="O88" s="85"/>
      <c r="P88" s="104"/>
    </row>
    <row r="89" spans="2:16" ht="12.75">
      <c r="B89" s="105"/>
      <c r="C89" s="1"/>
      <c r="D89" s="1"/>
      <c r="E89" s="24"/>
      <c r="F89" s="24"/>
      <c r="G89" s="1"/>
      <c r="H89" s="1"/>
      <c r="I89" s="1"/>
      <c r="J89" s="1"/>
      <c r="K89" s="1"/>
      <c r="L89" s="1"/>
      <c r="M89" s="1"/>
      <c r="N89" s="1"/>
      <c r="O89" s="85"/>
      <c r="P89" s="104"/>
    </row>
    <row r="90" spans="2:16" ht="12.75">
      <c r="B90" s="105"/>
      <c r="C90" s="1"/>
      <c r="D90" s="1"/>
      <c r="E90" s="24"/>
      <c r="F90" s="24"/>
      <c r="G90" s="1"/>
      <c r="H90" s="1"/>
      <c r="I90" s="1"/>
      <c r="J90" s="1"/>
      <c r="K90" s="1"/>
      <c r="L90" s="1"/>
      <c r="M90" s="1"/>
      <c r="N90" s="1"/>
      <c r="O90" s="85"/>
      <c r="P90" s="104"/>
    </row>
    <row r="91" spans="2:16" ht="12.75">
      <c r="B91" s="105"/>
      <c r="C91" s="1"/>
      <c r="D91" s="1"/>
      <c r="E91" s="24"/>
      <c r="F91" s="24"/>
      <c r="G91" s="1"/>
      <c r="H91" s="1"/>
      <c r="I91" s="1"/>
      <c r="J91" s="1"/>
      <c r="K91" s="1"/>
      <c r="L91" s="1"/>
      <c r="M91" s="1"/>
      <c r="N91" s="1"/>
      <c r="O91" s="85"/>
      <c r="P91" s="104"/>
    </row>
    <row r="92" spans="2:16" ht="12.75">
      <c r="B92" s="105"/>
      <c r="C92" s="1"/>
      <c r="D92" s="1"/>
      <c r="E92" s="24"/>
      <c r="F92" s="24"/>
      <c r="G92" s="1"/>
      <c r="H92" s="1"/>
      <c r="I92" s="1"/>
      <c r="J92" s="1"/>
      <c r="K92" s="1"/>
      <c r="L92" s="1"/>
      <c r="M92" s="1"/>
      <c r="N92" s="1"/>
      <c r="O92" s="85"/>
      <c r="P92" s="104"/>
    </row>
    <row r="93" spans="2:16" ht="12.75">
      <c r="B93" s="105"/>
      <c r="C93" s="1"/>
      <c r="D93" s="1"/>
      <c r="E93" s="24"/>
      <c r="F93" s="24"/>
      <c r="G93" s="1"/>
      <c r="H93" s="1"/>
      <c r="I93" s="1"/>
      <c r="J93" s="1"/>
      <c r="K93" s="1"/>
      <c r="L93" s="1"/>
      <c r="M93" s="1"/>
      <c r="N93" s="1"/>
      <c r="O93" s="85"/>
      <c r="P93" s="104"/>
    </row>
    <row r="94" spans="2:16" ht="12.75">
      <c r="B94" s="105"/>
      <c r="C94" s="1"/>
      <c r="D94" s="1"/>
      <c r="E94" s="24"/>
      <c r="F94" s="24"/>
      <c r="G94" s="1"/>
      <c r="H94" s="1"/>
      <c r="I94" s="1"/>
      <c r="J94" s="1"/>
      <c r="K94" s="1"/>
      <c r="L94" s="1"/>
      <c r="M94" s="1"/>
      <c r="N94" s="1"/>
      <c r="O94" s="85"/>
      <c r="P94" s="104"/>
    </row>
    <row r="95" spans="2:16" ht="15" customHeight="1">
      <c r="B95" s="105"/>
      <c r="C95" s="1"/>
      <c r="D95" s="1"/>
      <c r="E95" s="24"/>
      <c r="F95" s="24"/>
      <c r="G95" s="1"/>
      <c r="H95" s="1"/>
      <c r="I95" s="1"/>
      <c r="J95" s="1"/>
      <c r="K95" s="1"/>
      <c r="L95" s="1"/>
      <c r="M95" s="1"/>
      <c r="N95" s="1"/>
      <c r="O95" s="85"/>
      <c r="P95" s="104"/>
    </row>
    <row r="96" spans="2:16" ht="12.75">
      <c r="B96" s="105"/>
      <c r="C96" s="1"/>
      <c r="D96" s="1"/>
      <c r="E96" s="24"/>
      <c r="F96" s="24"/>
      <c r="G96" s="1"/>
      <c r="H96" s="1"/>
      <c r="I96" s="1"/>
      <c r="J96" s="1"/>
      <c r="K96" s="1"/>
      <c r="L96" s="1"/>
      <c r="M96" s="1"/>
      <c r="N96" s="1"/>
      <c r="O96" s="85"/>
      <c r="P96" s="104"/>
    </row>
    <row r="97" spans="2:16" ht="12.75">
      <c r="B97" s="105"/>
      <c r="C97" s="1"/>
      <c r="D97" s="1"/>
      <c r="E97" s="24"/>
      <c r="F97" s="24"/>
      <c r="G97" s="1"/>
      <c r="H97" s="1"/>
      <c r="I97" s="1"/>
      <c r="J97" s="1"/>
      <c r="K97" s="1"/>
      <c r="L97" s="1"/>
      <c r="M97" s="1"/>
      <c r="N97" s="1"/>
      <c r="O97" s="85"/>
      <c r="P97" s="104"/>
    </row>
    <row r="98" spans="2:16" ht="12.75">
      <c r="B98" s="105"/>
      <c r="C98" s="1"/>
      <c r="D98" s="1"/>
      <c r="E98" s="24"/>
      <c r="F98" s="24"/>
      <c r="G98" s="1"/>
      <c r="H98" s="1"/>
      <c r="I98" s="1"/>
      <c r="J98" s="1"/>
      <c r="K98" s="1"/>
      <c r="L98" s="1"/>
      <c r="M98" s="1"/>
      <c r="N98" s="1"/>
      <c r="O98" s="85"/>
      <c r="P98" s="104"/>
    </row>
    <row r="99" spans="2:16" ht="12.75">
      <c r="B99" s="105"/>
      <c r="C99" s="1"/>
      <c r="D99" s="1"/>
      <c r="E99" s="24"/>
      <c r="F99" s="24"/>
      <c r="G99" s="1"/>
      <c r="H99" s="1"/>
      <c r="I99" s="1"/>
      <c r="J99" s="1"/>
      <c r="K99" s="1"/>
      <c r="L99" s="1"/>
      <c r="M99" s="1"/>
      <c r="N99" s="1"/>
      <c r="O99" s="85"/>
      <c r="P99" s="104"/>
    </row>
    <row r="100" spans="2:16" ht="12.75">
      <c r="B100" s="105"/>
      <c r="C100" s="1"/>
      <c r="D100" s="1"/>
      <c r="E100" s="24"/>
      <c r="F100" s="24"/>
      <c r="G100" s="1"/>
      <c r="H100" s="1"/>
      <c r="I100" s="1"/>
      <c r="J100" s="1"/>
      <c r="K100" s="1"/>
      <c r="L100" s="1"/>
      <c r="M100" s="1"/>
      <c r="N100" s="1"/>
      <c r="O100" s="85"/>
      <c r="P100" s="104"/>
    </row>
    <row r="101" spans="2:16" ht="12.75">
      <c r="B101" s="105"/>
      <c r="C101" s="1"/>
      <c r="D101" s="1"/>
      <c r="E101" s="24"/>
      <c r="F101" s="24"/>
      <c r="G101" s="1"/>
      <c r="H101" s="1"/>
      <c r="I101" s="1"/>
      <c r="J101" s="1"/>
      <c r="K101" s="1"/>
      <c r="L101" s="1"/>
      <c r="M101" s="1"/>
      <c r="N101" s="1"/>
      <c r="O101" s="85"/>
      <c r="P101" s="104"/>
    </row>
    <row r="102" spans="2:16" ht="12.75">
      <c r="B102" s="105"/>
      <c r="C102" s="1"/>
      <c r="D102" s="1"/>
      <c r="E102" s="24"/>
      <c r="F102" s="24"/>
      <c r="G102" s="1"/>
      <c r="H102" s="1"/>
      <c r="I102" s="1"/>
      <c r="J102" s="1"/>
      <c r="K102" s="1"/>
      <c r="L102" s="1"/>
      <c r="M102" s="1"/>
      <c r="N102" s="1"/>
      <c r="O102" s="85"/>
      <c r="P102" s="104"/>
    </row>
    <row r="103" spans="2:16" ht="12.75">
      <c r="B103" s="105"/>
      <c r="C103" s="1"/>
      <c r="D103" s="1"/>
      <c r="E103" s="24"/>
      <c r="F103" s="24"/>
      <c r="G103" s="1"/>
      <c r="H103" s="1"/>
      <c r="I103" s="1"/>
      <c r="J103" s="1"/>
      <c r="K103" s="1"/>
      <c r="L103" s="1"/>
      <c r="M103" s="1"/>
      <c r="N103" s="1"/>
      <c r="O103" s="85"/>
      <c r="P103" s="104"/>
    </row>
    <row r="104" spans="2:16" ht="12.75">
      <c r="B104" s="105"/>
      <c r="C104" s="1"/>
      <c r="D104" s="1"/>
      <c r="E104" s="24"/>
      <c r="F104" s="24"/>
      <c r="G104" s="1"/>
      <c r="H104" s="1"/>
      <c r="I104" s="1"/>
      <c r="J104" s="1"/>
      <c r="K104" s="1"/>
      <c r="L104" s="1"/>
      <c r="M104" s="1"/>
      <c r="N104" s="1"/>
      <c r="O104" s="85"/>
      <c r="P104" s="104"/>
    </row>
    <row r="105" spans="2:16" ht="12.75">
      <c r="B105" s="105"/>
      <c r="C105" s="1"/>
      <c r="D105" s="1"/>
      <c r="E105" s="24"/>
      <c r="F105" s="24"/>
      <c r="G105" s="1"/>
      <c r="H105" s="1"/>
      <c r="I105" s="1"/>
      <c r="J105" s="1"/>
      <c r="K105" s="1"/>
      <c r="L105" s="1"/>
      <c r="M105" s="1"/>
      <c r="N105" s="1"/>
      <c r="O105" s="85"/>
      <c r="P105" s="104"/>
    </row>
    <row r="106" spans="2:16" ht="12.75">
      <c r="B106" s="105"/>
      <c r="C106" s="1"/>
      <c r="D106" s="1"/>
      <c r="E106" s="24"/>
      <c r="F106" s="24"/>
      <c r="G106" s="1"/>
      <c r="H106" s="1"/>
      <c r="I106" s="1"/>
      <c r="J106" s="1"/>
      <c r="K106" s="1"/>
      <c r="L106" s="1"/>
      <c r="M106" s="1"/>
      <c r="N106" s="1"/>
      <c r="O106" s="85"/>
      <c r="P106" s="104"/>
    </row>
    <row r="107" spans="2:16" ht="12.75">
      <c r="B107" s="105"/>
      <c r="C107" s="1"/>
      <c r="D107" s="1"/>
      <c r="E107" s="24"/>
      <c r="F107" s="24"/>
      <c r="G107" s="1"/>
      <c r="H107" s="1"/>
      <c r="I107" s="1"/>
      <c r="J107" s="1"/>
      <c r="K107" s="1"/>
      <c r="L107" s="1"/>
      <c r="M107" s="1"/>
      <c r="N107" s="1"/>
      <c r="O107" s="85"/>
      <c r="P107" s="104"/>
    </row>
    <row r="108" spans="2:16" s="98" customFormat="1" ht="18.75">
      <c r="B108" s="127"/>
      <c r="C108" s="28" t="s">
        <v>5</v>
      </c>
      <c r="D108" s="29"/>
      <c r="E108" s="33"/>
      <c r="F108" s="33"/>
      <c r="G108" s="30"/>
      <c r="H108" s="16"/>
      <c r="I108" s="30"/>
      <c r="J108" s="29"/>
      <c r="K108" s="29"/>
      <c r="L108" s="29"/>
      <c r="M108" s="29"/>
      <c r="N108" s="29"/>
      <c r="O108" s="84"/>
      <c r="P108" s="116"/>
    </row>
    <row r="109" spans="2:16" ht="15" customHeight="1">
      <c r="B109" s="105"/>
      <c r="C109" s="1" t="s">
        <v>169</v>
      </c>
      <c r="D109" s="1"/>
      <c r="E109" s="24"/>
      <c r="F109" s="24"/>
      <c r="G109" s="1"/>
      <c r="H109" s="1"/>
      <c r="I109" s="1"/>
      <c r="J109" s="1"/>
      <c r="K109" s="1"/>
      <c r="L109" s="1"/>
      <c r="M109" s="1"/>
      <c r="N109" s="1"/>
      <c r="O109" s="166"/>
      <c r="P109" s="104"/>
    </row>
    <row r="110" spans="2:16" ht="12.75">
      <c r="B110" s="105"/>
      <c r="C110" s="1"/>
      <c r="D110" s="1"/>
      <c r="E110" s="24"/>
      <c r="F110" s="24"/>
      <c r="G110" s="1"/>
      <c r="H110" s="1"/>
      <c r="I110" s="1"/>
      <c r="J110" s="1"/>
      <c r="K110" s="1"/>
      <c r="L110" s="1"/>
      <c r="M110" s="1"/>
      <c r="N110" s="1"/>
      <c r="O110" s="85"/>
      <c r="P110" s="104"/>
    </row>
    <row r="111" spans="2:16" ht="12.75">
      <c r="B111" s="105"/>
      <c r="C111" s="1"/>
      <c r="D111" s="1"/>
      <c r="E111" s="24"/>
      <c r="F111" s="24"/>
      <c r="G111" s="1"/>
      <c r="H111" s="1"/>
      <c r="I111" s="1"/>
      <c r="J111" s="1"/>
      <c r="K111" s="1"/>
      <c r="L111" s="1"/>
      <c r="M111" s="1"/>
      <c r="N111" s="1"/>
      <c r="O111" s="85"/>
      <c r="P111" s="104"/>
    </row>
    <row r="112" spans="2:16" ht="12.75">
      <c r="B112" s="105"/>
      <c r="C112" s="1"/>
      <c r="D112" s="1"/>
      <c r="E112" s="24"/>
      <c r="F112" s="24"/>
      <c r="G112" s="1"/>
      <c r="H112" s="1"/>
      <c r="I112" s="1"/>
      <c r="J112" s="1"/>
      <c r="K112" s="1"/>
      <c r="L112" s="1"/>
      <c r="M112" s="1"/>
      <c r="N112" s="1"/>
      <c r="O112" s="85"/>
      <c r="P112" s="104"/>
    </row>
    <row r="113" spans="2:16" ht="12.75">
      <c r="B113" s="105"/>
      <c r="C113" s="1"/>
      <c r="D113" s="1"/>
      <c r="E113" s="24"/>
      <c r="F113" s="24"/>
      <c r="G113" s="1"/>
      <c r="H113" s="1"/>
      <c r="I113" s="1"/>
      <c r="J113" s="1"/>
      <c r="K113" s="1"/>
      <c r="L113" s="1"/>
      <c r="M113" s="1"/>
      <c r="N113" s="1"/>
      <c r="O113" s="85"/>
      <c r="P113" s="104"/>
    </row>
    <row r="114" spans="2:16" ht="12.75">
      <c r="B114" s="105"/>
      <c r="C114" s="1"/>
      <c r="D114" s="1"/>
      <c r="E114" s="24"/>
      <c r="F114" s="24"/>
      <c r="G114" s="1"/>
      <c r="H114" s="1"/>
      <c r="I114" s="1"/>
      <c r="J114" s="1"/>
      <c r="K114" s="1"/>
      <c r="L114" s="1"/>
      <c r="M114" s="1"/>
      <c r="N114" s="1"/>
      <c r="O114" s="85"/>
      <c r="P114" s="104"/>
    </row>
    <row r="115" spans="2:16" ht="12.75">
      <c r="B115" s="105"/>
      <c r="C115" s="1"/>
      <c r="D115" s="1"/>
      <c r="E115" s="24"/>
      <c r="F115" s="24"/>
      <c r="G115" s="1"/>
      <c r="H115" s="1"/>
      <c r="I115" s="1"/>
      <c r="J115" s="1"/>
      <c r="K115" s="1"/>
      <c r="L115" s="1"/>
      <c r="M115" s="1"/>
      <c r="N115" s="1"/>
      <c r="O115" s="85"/>
      <c r="P115" s="104"/>
    </row>
    <row r="116" spans="2:16" ht="12.75">
      <c r="B116" s="105"/>
      <c r="C116" s="1"/>
      <c r="D116" s="1"/>
      <c r="E116" s="24"/>
      <c r="F116" s="24"/>
      <c r="G116" s="1"/>
      <c r="H116" s="1"/>
      <c r="I116" s="1"/>
      <c r="J116" s="1"/>
      <c r="K116" s="1"/>
      <c r="L116" s="1"/>
      <c r="M116" s="1"/>
      <c r="N116" s="1"/>
      <c r="O116" s="85"/>
      <c r="P116" s="104"/>
    </row>
    <row r="117" spans="2:16" ht="12.75">
      <c r="B117" s="105"/>
      <c r="C117" s="1"/>
      <c r="D117" s="1"/>
      <c r="E117" s="24"/>
      <c r="F117" s="24"/>
      <c r="G117" s="1"/>
      <c r="H117" s="1"/>
      <c r="I117" s="1"/>
      <c r="J117" s="1"/>
      <c r="K117" s="1"/>
      <c r="L117" s="1"/>
      <c r="M117" s="1"/>
      <c r="N117" s="1"/>
      <c r="O117" s="85"/>
      <c r="P117" s="104"/>
    </row>
    <row r="118" spans="2:16" ht="12.75">
      <c r="B118" s="105"/>
      <c r="C118" s="1"/>
      <c r="D118" s="1"/>
      <c r="E118" s="24"/>
      <c r="F118" s="24"/>
      <c r="G118" s="1"/>
      <c r="H118" s="1"/>
      <c r="I118" s="1"/>
      <c r="J118" s="1"/>
      <c r="K118" s="1"/>
      <c r="L118" s="1"/>
      <c r="M118" s="1"/>
      <c r="N118" s="1"/>
      <c r="O118" s="85"/>
      <c r="P118" s="104"/>
    </row>
    <row r="119" spans="2:16" ht="12.75">
      <c r="B119" s="105"/>
      <c r="C119" s="1"/>
      <c r="D119" s="1"/>
      <c r="E119" s="24"/>
      <c r="F119" s="24"/>
      <c r="G119" s="1"/>
      <c r="H119" s="1"/>
      <c r="I119" s="1"/>
      <c r="J119" s="1"/>
      <c r="K119" s="1"/>
      <c r="L119" s="1"/>
      <c r="M119" s="1"/>
      <c r="N119" s="1"/>
      <c r="O119" s="85"/>
      <c r="P119" s="104"/>
    </row>
    <row r="120" spans="2:16" ht="12.75">
      <c r="B120" s="105"/>
      <c r="C120" s="1"/>
      <c r="D120" s="1"/>
      <c r="E120" s="24"/>
      <c r="F120" s="24"/>
      <c r="G120" s="1"/>
      <c r="H120" s="1"/>
      <c r="I120" s="1"/>
      <c r="J120" s="1"/>
      <c r="K120" s="1"/>
      <c r="L120" s="1"/>
      <c r="M120" s="1"/>
      <c r="N120" s="1"/>
      <c r="O120" s="85"/>
      <c r="P120" s="104"/>
    </row>
    <row r="121" spans="2:16" ht="12.75">
      <c r="B121" s="105"/>
      <c r="C121" s="1"/>
      <c r="D121" s="1"/>
      <c r="E121" s="24"/>
      <c r="F121" s="24"/>
      <c r="G121" s="1"/>
      <c r="H121" s="1"/>
      <c r="I121" s="1"/>
      <c r="J121" s="1"/>
      <c r="K121" s="1"/>
      <c r="L121" s="1"/>
      <c r="M121" s="1"/>
      <c r="N121" s="1"/>
      <c r="O121" s="85"/>
      <c r="P121" s="104"/>
    </row>
    <row r="122" spans="2:16" ht="12.75">
      <c r="B122" s="105"/>
      <c r="C122" s="1"/>
      <c r="D122" s="1"/>
      <c r="E122" s="24"/>
      <c r="F122" s="24"/>
      <c r="G122" s="1"/>
      <c r="H122" s="1"/>
      <c r="I122" s="1"/>
      <c r="J122" s="1"/>
      <c r="K122" s="1"/>
      <c r="L122" s="1"/>
      <c r="M122" s="1"/>
      <c r="N122" s="1"/>
      <c r="O122" s="85"/>
      <c r="P122" s="104"/>
    </row>
    <row r="123" spans="2:16" ht="12.75">
      <c r="B123" s="105"/>
      <c r="C123" s="1"/>
      <c r="D123" s="1"/>
      <c r="E123" s="24"/>
      <c r="F123" s="24"/>
      <c r="G123" s="1"/>
      <c r="H123" s="1"/>
      <c r="I123" s="1"/>
      <c r="J123" s="1"/>
      <c r="K123" s="1"/>
      <c r="L123" s="1"/>
      <c r="M123" s="1"/>
      <c r="N123" s="1"/>
      <c r="O123" s="85"/>
      <c r="P123" s="104"/>
    </row>
    <row r="124" spans="2:16" ht="12.75">
      <c r="B124" s="105"/>
      <c r="C124" s="1"/>
      <c r="D124" s="1"/>
      <c r="E124" s="24"/>
      <c r="F124" s="24"/>
      <c r="G124" s="1"/>
      <c r="H124" s="1"/>
      <c r="I124" s="1"/>
      <c r="J124" s="1"/>
      <c r="K124" s="1"/>
      <c r="L124" s="1"/>
      <c r="M124" s="1"/>
      <c r="N124" s="1"/>
      <c r="O124" s="85"/>
      <c r="P124" s="104"/>
    </row>
    <row r="125" spans="2:16" ht="12.75">
      <c r="B125" s="105"/>
      <c r="C125" s="1"/>
      <c r="D125" s="1"/>
      <c r="E125" s="24"/>
      <c r="F125" s="24"/>
      <c r="G125" s="1"/>
      <c r="H125" s="1"/>
      <c r="I125" s="1"/>
      <c r="J125" s="1"/>
      <c r="K125" s="1"/>
      <c r="L125" s="1"/>
      <c r="M125" s="1"/>
      <c r="N125" s="1"/>
      <c r="O125" s="85"/>
      <c r="P125" s="104"/>
    </row>
    <row r="126" spans="2:16" ht="12.75">
      <c r="B126" s="105"/>
      <c r="C126" s="1"/>
      <c r="D126" s="1"/>
      <c r="E126" s="24"/>
      <c r="F126" s="24"/>
      <c r="G126" s="1"/>
      <c r="H126" s="1"/>
      <c r="I126" s="1"/>
      <c r="J126" s="1"/>
      <c r="K126" s="1"/>
      <c r="L126" s="1"/>
      <c r="M126" s="1"/>
      <c r="N126" s="1"/>
      <c r="O126" s="85"/>
      <c r="P126" s="104"/>
    </row>
    <row r="127" spans="2:16" ht="12.75">
      <c r="B127" s="105"/>
      <c r="C127" s="1"/>
      <c r="D127" s="1"/>
      <c r="E127" s="24"/>
      <c r="F127" s="24"/>
      <c r="G127" s="1"/>
      <c r="H127" s="1"/>
      <c r="I127" s="1"/>
      <c r="J127" s="1"/>
      <c r="K127" s="1"/>
      <c r="L127" s="1"/>
      <c r="M127" s="1"/>
      <c r="N127" s="1"/>
      <c r="O127" s="85"/>
      <c r="P127" s="104"/>
    </row>
    <row r="128" spans="2:16" ht="12.75">
      <c r="B128" s="105"/>
      <c r="C128" s="1"/>
      <c r="D128" s="1"/>
      <c r="E128" s="24"/>
      <c r="F128" s="24"/>
      <c r="G128" s="1"/>
      <c r="H128" s="1"/>
      <c r="I128" s="1"/>
      <c r="J128" s="1"/>
      <c r="K128" s="1"/>
      <c r="L128" s="1"/>
      <c r="M128" s="1"/>
      <c r="N128" s="1"/>
      <c r="O128" s="85"/>
      <c r="P128" s="104"/>
    </row>
    <row r="129" spans="2:16" ht="12.75">
      <c r="B129" s="105"/>
      <c r="C129" s="1"/>
      <c r="D129" s="1"/>
      <c r="E129" s="24"/>
      <c r="F129" s="24"/>
      <c r="G129" s="1"/>
      <c r="H129" s="1"/>
      <c r="I129" s="1"/>
      <c r="J129" s="1"/>
      <c r="K129" s="1"/>
      <c r="L129" s="1"/>
      <c r="M129" s="1"/>
      <c r="N129" s="1"/>
      <c r="O129" s="85"/>
      <c r="P129" s="104"/>
    </row>
    <row r="130" spans="2:16" ht="12.75">
      <c r="B130" s="105"/>
      <c r="C130" s="1"/>
      <c r="D130" s="1"/>
      <c r="E130" s="24"/>
      <c r="F130" s="24"/>
      <c r="G130" s="1"/>
      <c r="H130" s="1"/>
      <c r="I130" s="1"/>
      <c r="J130" s="1"/>
      <c r="K130" s="1"/>
      <c r="L130" s="1"/>
      <c r="M130" s="1"/>
      <c r="N130" s="1"/>
      <c r="O130" s="85"/>
      <c r="P130" s="104"/>
    </row>
    <row r="131" spans="2:16" ht="12.75">
      <c r="B131" s="105"/>
      <c r="C131" s="1"/>
      <c r="D131" s="1"/>
      <c r="E131" s="24"/>
      <c r="F131" s="24"/>
      <c r="G131" s="1"/>
      <c r="H131" s="1"/>
      <c r="I131" s="1"/>
      <c r="J131" s="1"/>
      <c r="K131" s="1"/>
      <c r="L131" s="1"/>
      <c r="M131" s="1"/>
      <c r="N131" s="1"/>
      <c r="O131" s="85"/>
      <c r="P131" s="104"/>
    </row>
    <row r="132" spans="2:16" ht="12.75">
      <c r="B132" s="105"/>
      <c r="C132" s="1"/>
      <c r="D132" s="1"/>
      <c r="E132" s="24"/>
      <c r="F132" s="24"/>
      <c r="G132" s="1"/>
      <c r="H132" s="1"/>
      <c r="I132" s="1"/>
      <c r="J132" s="1"/>
      <c r="K132" s="1"/>
      <c r="L132" s="1"/>
      <c r="M132" s="1"/>
      <c r="N132" s="1"/>
      <c r="O132" s="85"/>
      <c r="P132" s="104"/>
    </row>
    <row r="133" spans="2:16" ht="12.75">
      <c r="B133" s="105"/>
      <c r="C133" s="1"/>
      <c r="D133" s="1"/>
      <c r="E133" s="24"/>
      <c r="F133" s="24"/>
      <c r="G133" s="1"/>
      <c r="H133" s="1"/>
      <c r="I133" s="1"/>
      <c r="J133" s="1"/>
      <c r="K133" s="1"/>
      <c r="L133" s="1"/>
      <c r="M133" s="1"/>
      <c r="N133" s="1"/>
      <c r="O133" s="85"/>
      <c r="P133" s="104"/>
    </row>
    <row r="134" spans="2:16" ht="12.75">
      <c r="B134" s="105"/>
      <c r="C134" s="1"/>
      <c r="D134" s="1"/>
      <c r="E134" s="24"/>
      <c r="F134" s="24"/>
      <c r="G134" s="1"/>
      <c r="H134" s="1"/>
      <c r="I134" s="1"/>
      <c r="J134" s="1"/>
      <c r="K134" s="1"/>
      <c r="L134" s="1"/>
      <c r="M134" s="1"/>
      <c r="N134" s="1"/>
      <c r="O134" s="85"/>
      <c r="P134" s="104"/>
    </row>
    <row r="135" spans="2:16" ht="12.75">
      <c r="B135" s="105"/>
      <c r="C135" s="1"/>
      <c r="D135" s="1"/>
      <c r="E135" s="24"/>
      <c r="F135" s="24"/>
      <c r="G135" s="1"/>
      <c r="H135" s="1"/>
      <c r="I135" s="1"/>
      <c r="J135" s="1"/>
      <c r="K135" s="1"/>
      <c r="L135" s="1"/>
      <c r="M135" s="1"/>
      <c r="N135" s="1"/>
      <c r="O135" s="85"/>
      <c r="P135" s="104"/>
    </row>
    <row r="136" spans="2:16" ht="12.75">
      <c r="B136" s="105"/>
      <c r="C136" s="1"/>
      <c r="D136" s="1"/>
      <c r="E136" s="24"/>
      <c r="F136" s="24"/>
      <c r="G136" s="1"/>
      <c r="H136" s="1"/>
      <c r="I136" s="1"/>
      <c r="J136" s="1"/>
      <c r="K136" s="1"/>
      <c r="L136" s="1"/>
      <c r="M136" s="1"/>
      <c r="N136" s="1"/>
      <c r="O136" s="85"/>
      <c r="P136" s="104"/>
    </row>
    <row r="137" spans="2:16" ht="12.75">
      <c r="B137" s="105"/>
      <c r="C137" s="1"/>
      <c r="D137" s="1"/>
      <c r="E137" s="24"/>
      <c r="F137" s="24"/>
      <c r="G137" s="1"/>
      <c r="H137" s="1"/>
      <c r="I137" s="1"/>
      <c r="J137" s="1"/>
      <c r="K137" s="1"/>
      <c r="L137" s="1"/>
      <c r="M137" s="1"/>
      <c r="N137" s="1"/>
      <c r="O137" s="85"/>
      <c r="P137" s="104"/>
    </row>
    <row r="138" spans="2:16" ht="12.75">
      <c r="B138" s="262"/>
      <c r="C138" s="263"/>
      <c r="D138" s="263"/>
      <c r="E138" s="264"/>
      <c r="F138" s="264"/>
      <c r="G138" s="263"/>
      <c r="H138" s="263"/>
      <c r="I138" s="263"/>
      <c r="J138" s="263"/>
      <c r="K138" s="263"/>
      <c r="L138" s="263"/>
      <c r="M138" s="263"/>
      <c r="N138" s="263"/>
      <c r="O138" s="265"/>
      <c r="P138" s="266"/>
    </row>
    <row r="139" spans="2:16" ht="12.75">
      <c r="B139" s="262"/>
      <c r="C139" s="263"/>
      <c r="D139" s="263"/>
      <c r="E139" s="264"/>
      <c r="F139" s="264"/>
      <c r="G139" s="263"/>
      <c r="H139" s="263"/>
      <c r="I139" s="263"/>
      <c r="J139" s="263"/>
      <c r="K139" s="263"/>
      <c r="L139" s="263"/>
      <c r="M139" s="263"/>
      <c r="N139" s="263"/>
      <c r="O139" s="265"/>
      <c r="P139" s="266"/>
    </row>
    <row r="140" spans="2:16" ht="12.75">
      <c r="B140" s="262"/>
      <c r="C140" s="263"/>
      <c r="D140" s="263"/>
      <c r="E140" s="264"/>
      <c r="F140" s="264"/>
      <c r="G140" s="263"/>
      <c r="H140" s="263"/>
      <c r="I140" s="263"/>
      <c r="J140" s="263"/>
      <c r="K140" s="263"/>
      <c r="L140" s="263"/>
      <c r="M140" s="263"/>
      <c r="N140" s="263"/>
      <c r="O140" s="265"/>
      <c r="P140" s="266"/>
    </row>
    <row r="141" spans="2:16" ht="12.75">
      <c r="B141" s="262"/>
      <c r="C141" s="263"/>
      <c r="D141" s="263"/>
      <c r="E141" s="264"/>
      <c r="F141" s="264"/>
      <c r="G141" s="263"/>
      <c r="H141" s="263"/>
      <c r="I141" s="263"/>
      <c r="J141" s="263"/>
      <c r="K141" s="263"/>
      <c r="L141" s="263"/>
      <c r="M141" s="263"/>
      <c r="N141" s="263"/>
      <c r="O141" s="265"/>
      <c r="P141" s="266"/>
    </row>
    <row r="142" spans="2:16" ht="12.75">
      <c r="B142" s="262"/>
      <c r="C142" s="263"/>
      <c r="D142" s="263"/>
      <c r="E142" s="264"/>
      <c r="F142" s="264"/>
      <c r="G142" s="263"/>
      <c r="H142" s="263"/>
      <c r="I142" s="263"/>
      <c r="J142" s="263"/>
      <c r="K142" s="263"/>
      <c r="L142" s="263"/>
      <c r="M142" s="263"/>
      <c r="N142" s="263"/>
      <c r="O142" s="265"/>
      <c r="P142" s="266"/>
    </row>
    <row r="143" spans="2:16" ht="12.75">
      <c r="B143" s="262"/>
      <c r="C143" s="263"/>
      <c r="D143" s="263"/>
      <c r="E143" s="264"/>
      <c r="F143" s="264"/>
      <c r="G143" s="263"/>
      <c r="H143" s="263"/>
      <c r="I143" s="263"/>
      <c r="J143" s="263"/>
      <c r="K143" s="263"/>
      <c r="L143" s="263"/>
      <c r="M143" s="263"/>
      <c r="N143" s="263"/>
      <c r="O143" s="265"/>
      <c r="P143" s="266"/>
    </row>
    <row r="144" spans="2:16" ht="12.75">
      <c r="B144" s="262"/>
      <c r="C144" s="263"/>
      <c r="D144" s="263"/>
      <c r="E144" s="264"/>
      <c r="F144" s="264"/>
      <c r="G144" s="263"/>
      <c r="H144" s="263"/>
      <c r="I144" s="263"/>
      <c r="J144" s="263"/>
      <c r="K144" s="263"/>
      <c r="L144" s="263"/>
      <c r="M144" s="263"/>
      <c r="N144" s="263"/>
      <c r="O144" s="265"/>
      <c r="P144" s="266"/>
    </row>
    <row r="145" spans="2:16" ht="12.75">
      <c r="B145" s="262"/>
      <c r="C145" s="263"/>
      <c r="D145" s="263"/>
      <c r="E145" s="264"/>
      <c r="F145" s="264"/>
      <c r="G145" s="263"/>
      <c r="H145" s="263"/>
      <c r="I145" s="263"/>
      <c r="J145" s="263"/>
      <c r="K145" s="263"/>
      <c r="L145" s="263"/>
      <c r="M145" s="263"/>
      <c r="N145" s="263"/>
      <c r="O145" s="265"/>
      <c r="P145" s="266"/>
    </row>
    <row r="146" spans="2:16" ht="12.75">
      <c r="B146" s="262"/>
      <c r="C146" s="263"/>
      <c r="D146" s="263"/>
      <c r="E146" s="264"/>
      <c r="F146" s="264"/>
      <c r="G146" s="263"/>
      <c r="H146" s="263"/>
      <c r="I146" s="263"/>
      <c r="J146" s="263"/>
      <c r="K146" s="263"/>
      <c r="L146" s="263"/>
      <c r="M146" s="263"/>
      <c r="N146" s="263"/>
      <c r="O146" s="265"/>
      <c r="P146" s="266"/>
    </row>
    <row r="147" spans="2:16" ht="12.75">
      <c r="B147" s="262"/>
      <c r="C147" s="263"/>
      <c r="D147" s="263"/>
      <c r="E147" s="264"/>
      <c r="F147" s="264"/>
      <c r="G147" s="263"/>
      <c r="H147" s="263"/>
      <c r="I147" s="263"/>
      <c r="J147" s="263"/>
      <c r="K147" s="263"/>
      <c r="L147" s="263"/>
      <c r="M147" s="263"/>
      <c r="N147" s="263"/>
      <c r="O147" s="265"/>
      <c r="P147" s="266"/>
    </row>
    <row r="148" spans="2:16" ht="12.75">
      <c r="B148" s="262"/>
      <c r="C148" s="263"/>
      <c r="D148" s="263"/>
      <c r="E148" s="264"/>
      <c r="F148" s="264"/>
      <c r="G148" s="263"/>
      <c r="H148" s="263"/>
      <c r="I148" s="263"/>
      <c r="J148" s="263"/>
      <c r="K148" s="263"/>
      <c r="L148" s="263"/>
      <c r="M148" s="263"/>
      <c r="N148" s="263"/>
      <c r="O148" s="265"/>
      <c r="P148" s="266"/>
    </row>
    <row r="149" spans="2:16" ht="12.75">
      <c r="B149" s="262"/>
      <c r="C149" s="263"/>
      <c r="D149" s="263"/>
      <c r="E149" s="264"/>
      <c r="F149" s="264"/>
      <c r="G149" s="263"/>
      <c r="H149" s="263"/>
      <c r="I149" s="263"/>
      <c r="J149" s="263"/>
      <c r="K149" s="263"/>
      <c r="L149" s="263"/>
      <c r="M149" s="263"/>
      <c r="N149" s="263"/>
      <c r="O149" s="265"/>
      <c r="P149" s="266"/>
    </row>
    <row r="150" spans="2:16" ht="12.75">
      <c r="B150" s="262"/>
      <c r="C150" s="263"/>
      <c r="D150" s="263"/>
      <c r="E150" s="264"/>
      <c r="F150" s="264"/>
      <c r="G150" s="263"/>
      <c r="H150" s="263"/>
      <c r="I150" s="263"/>
      <c r="J150" s="263"/>
      <c r="K150" s="263"/>
      <c r="L150" s="263"/>
      <c r="M150" s="263"/>
      <c r="N150" s="263"/>
      <c r="O150" s="265"/>
      <c r="P150" s="266"/>
    </row>
    <row r="151" spans="2:16" ht="13.5" thickBot="1">
      <c r="B151" s="257"/>
      <c r="C151" s="258"/>
      <c r="D151" s="258"/>
      <c r="E151" s="259"/>
      <c r="F151" s="259"/>
      <c r="G151" s="258"/>
      <c r="H151" s="258"/>
      <c r="I151" s="258"/>
      <c r="J151" s="258"/>
      <c r="K151" s="258"/>
      <c r="L151" s="258"/>
      <c r="M151" s="258"/>
      <c r="N151" s="258"/>
      <c r="O151" s="260"/>
      <c r="P151" s="261"/>
    </row>
  </sheetData>
  <sheetProtection/>
  <printOptions/>
  <pageMargins left="0.787401575" right="0.787401575" top="0.984251969" bottom="0.984251969" header="0.4921259845" footer="0.4921259845"/>
  <pageSetup fitToHeight="0" fitToWidth="0" horizontalDpi="1200" verticalDpi="1200" orientation="landscape" paperSize="9" scale="71" r:id="rId2"/>
  <headerFooter alignWithMargins="0">
    <oddHeader>&amp;LEnergy and Greenhouse Gas Emission Tool&amp;RResult summary</oddHeader>
    <oddFooter>&amp;C&amp;P of &amp;N</oddFooter>
  </headerFooter>
  <rowBreaks count="3" manualBreakCount="3">
    <brk id="45" min="2" max="14" man="1"/>
    <brk id="69" min="2" max="14" man="1"/>
    <brk id="107" min="2" max="14" man="1"/>
  </rowBreaks>
  <drawing r:id="rId1"/>
</worksheet>
</file>

<file path=xl/worksheets/sheet4.xml><?xml version="1.0" encoding="utf-8"?>
<worksheet xmlns="http://schemas.openxmlformats.org/spreadsheetml/2006/main" xmlns:r="http://schemas.openxmlformats.org/officeDocument/2006/relationships">
  <sheetPr>
    <tabColor indexed="22"/>
  </sheetPr>
  <dimension ref="B2:S134"/>
  <sheetViews>
    <sheetView zoomScalePageLayoutView="0" workbookViewId="0" topLeftCell="A46">
      <selection activeCell="A1" sqref="A1"/>
    </sheetView>
  </sheetViews>
  <sheetFormatPr defaultColWidth="11.421875" defaultRowHeight="12.75"/>
  <cols>
    <col min="1" max="1" width="2.8515625" style="10" customWidth="1"/>
    <col min="2" max="2" width="1.421875" style="10" customWidth="1"/>
    <col min="3" max="3" width="23.28125" style="10" customWidth="1"/>
    <col min="4" max="4" width="21.7109375" style="10" customWidth="1"/>
    <col min="5" max="5" width="1.1484375" style="139" customWidth="1"/>
    <col min="6" max="6" width="14.7109375" style="140" bestFit="1" customWidth="1"/>
    <col min="7" max="7" width="3.140625" style="10" customWidth="1"/>
    <col min="8" max="8" width="14.57421875" style="10" customWidth="1"/>
    <col min="9" max="9" width="9.8515625" style="141" bestFit="1" customWidth="1"/>
    <col min="10" max="10" width="23.140625" style="142" customWidth="1"/>
    <col min="11" max="11" width="12.28125" style="142" bestFit="1" customWidth="1"/>
    <col min="12" max="12" width="23.00390625" style="142" customWidth="1"/>
    <col min="13" max="13" width="14.7109375" style="142" bestFit="1" customWidth="1"/>
    <col min="14" max="14" width="22.421875" style="143" customWidth="1"/>
    <col min="15" max="15" width="13.28125" style="142" bestFit="1" customWidth="1"/>
    <col min="16" max="16" width="2.8515625" style="10" customWidth="1"/>
    <col min="17" max="17" width="11.421875" style="123" customWidth="1"/>
    <col min="18" max="18" width="12.28125" style="123" bestFit="1" customWidth="1"/>
    <col min="19" max="19" width="1.421875" style="10" customWidth="1"/>
    <col min="20" max="16384" width="11.421875" style="10" customWidth="1"/>
  </cols>
  <sheetData>
    <row r="1" ht="15" customHeight="1"/>
    <row r="2" spans="2:19" ht="7.5" customHeight="1">
      <c r="B2" s="117"/>
      <c r="C2" s="118"/>
      <c r="D2" s="118"/>
      <c r="E2" s="151"/>
      <c r="F2" s="152"/>
      <c r="G2" s="118"/>
      <c r="H2" s="118"/>
      <c r="I2" s="153"/>
      <c r="J2" s="154"/>
      <c r="K2" s="154"/>
      <c r="L2" s="154"/>
      <c r="M2" s="154"/>
      <c r="N2" s="155"/>
      <c r="O2" s="154"/>
      <c r="P2" s="118"/>
      <c r="Q2" s="125"/>
      <c r="R2" s="125"/>
      <c r="S2" s="119"/>
    </row>
    <row r="3" spans="2:19" s="98" customFormat="1" ht="18.75">
      <c r="B3" s="127"/>
      <c r="C3" s="28" t="s">
        <v>5</v>
      </c>
      <c r="D3" s="28"/>
      <c r="E3" s="71"/>
      <c r="F3" s="75"/>
      <c r="G3" s="29"/>
      <c r="H3" s="29"/>
      <c r="I3" s="64"/>
      <c r="J3" s="30"/>
      <c r="K3" s="30"/>
      <c r="L3" s="30"/>
      <c r="M3" s="30"/>
      <c r="N3" s="92"/>
      <c r="O3" s="16" t="s">
        <v>93</v>
      </c>
      <c r="P3" s="29"/>
      <c r="Q3" s="33"/>
      <c r="R3" s="33"/>
      <c r="S3" s="116"/>
    </row>
    <row r="4" spans="2:19" ht="15" customHeight="1">
      <c r="B4" s="105"/>
      <c r="C4" s="2" t="s">
        <v>6</v>
      </c>
      <c r="D4" s="2"/>
      <c r="E4" s="72"/>
      <c r="F4" s="53"/>
      <c r="G4" s="1"/>
      <c r="H4" s="1"/>
      <c r="I4" s="65"/>
      <c r="J4" s="3"/>
      <c r="K4" s="3"/>
      <c r="L4" s="3"/>
      <c r="M4" s="3"/>
      <c r="N4" s="25"/>
      <c r="O4" s="3"/>
      <c r="P4" s="1"/>
      <c r="Q4" s="24"/>
      <c r="R4" s="24"/>
      <c r="S4" s="104"/>
    </row>
    <row r="5" spans="2:19" ht="15" customHeight="1">
      <c r="B5" s="105"/>
      <c r="C5" s="1"/>
      <c r="D5" s="1"/>
      <c r="E5" s="73"/>
      <c r="F5" s="53"/>
      <c r="G5" s="1"/>
      <c r="H5" s="1"/>
      <c r="I5" s="65"/>
      <c r="J5" s="256" t="s">
        <v>52</v>
      </c>
      <c r="K5" s="256"/>
      <c r="L5" s="256" t="s">
        <v>51</v>
      </c>
      <c r="M5" s="256"/>
      <c r="N5" s="256" t="s">
        <v>57</v>
      </c>
      <c r="O5" s="256"/>
      <c r="P5" s="1"/>
      <c r="Q5" s="24"/>
      <c r="R5" s="24"/>
      <c r="S5" s="104"/>
    </row>
    <row r="6" spans="2:19" ht="15" customHeight="1">
      <c r="B6" s="105"/>
      <c r="C6" s="4" t="s">
        <v>7</v>
      </c>
      <c r="D6" s="4"/>
      <c r="E6" s="73" t="s">
        <v>9</v>
      </c>
      <c r="F6" s="168">
        <f>IF(ISNUMBER('User interface'!G7),'User interface'!G7,'User interface'!G8/'Additional data'!O7)</f>
        <v>741000</v>
      </c>
      <c r="G6" s="1"/>
      <c r="H6" s="11" t="s">
        <v>22</v>
      </c>
      <c r="I6" s="55" t="s">
        <v>147</v>
      </c>
      <c r="J6" s="12" t="s">
        <v>53</v>
      </c>
      <c r="K6" s="13" t="s">
        <v>54</v>
      </c>
      <c r="L6" s="12" t="s">
        <v>68</v>
      </c>
      <c r="M6" s="12" t="s">
        <v>0</v>
      </c>
      <c r="N6" s="93" t="s">
        <v>58</v>
      </c>
      <c r="O6" s="13" t="s">
        <v>1</v>
      </c>
      <c r="P6" s="1"/>
      <c r="Q6" s="24"/>
      <c r="R6" s="24"/>
      <c r="S6" s="104"/>
    </row>
    <row r="7" spans="2:19" ht="15" customHeight="1">
      <c r="B7" s="105"/>
      <c r="C7" s="14" t="str">
        <f>'User interface'!C10</f>
        <v>District heating</v>
      </c>
      <c r="D7" s="14"/>
      <c r="E7" s="73" t="s">
        <v>3</v>
      </c>
      <c r="F7" s="169">
        <f>IF(ISNUMBER('User interface'!G10),'User interface'!G10,(1-SUM('User interface'!G$10:G$16))*Calculation!I7/SUMPRODUCT(G$7:G$13,I$7:I$13))</f>
        <v>0.07167235494880546</v>
      </c>
      <c r="G7" s="204">
        <f>IF('User interface'!G10="",1,0)</f>
        <v>1</v>
      </c>
      <c r="H7" s="14" t="s">
        <v>18</v>
      </c>
      <c r="I7" s="173">
        <f>'Additional data'!E7</f>
        <v>0.07167235494880546</v>
      </c>
      <c r="J7" s="3">
        <v>5.7</v>
      </c>
      <c r="K7" s="3">
        <f aca="true" t="shared" si="0" ref="K7:K13">$F$6*F7*J7/1000</f>
        <v>302.7225255972696</v>
      </c>
      <c r="L7" s="174">
        <f>'Additional data'!G7</f>
        <v>282.2</v>
      </c>
      <c r="M7" s="174">
        <f>'Additional data'!H7</f>
        <v>333</v>
      </c>
      <c r="N7" s="25">
        <f>$K7*L7</f>
        <v>85428.29672354949</v>
      </c>
      <c r="O7" s="3">
        <f>$K7*M7</f>
        <v>100806.60102389079</v>
      </c>
      <c r="P7" s="1"/>
      <c r="Q7" s="24"/>
      <c r="R7" s="24"/>
      <c r="S7" s="104"/>
    </row>
    <row r="8" spans="2:19" ht="15" customHeight="1">
      <c r="B8" s="105"/>
      <c r="C8" s="14" t="str">
        <f>'User interface'!C11</f>
        <v>Natural gas</v>
      </c>
      <c r="D8" s="14"/>
      <c r="E8" s="73" t="s">
        <v>3</v>
      </c>
      <c r="F8" s="169">
        <f>IF(ISNUMBER('User interface'!G11),'User interface'!G11,(1-SUM('User interface'!G$10:G$16))*Calculation!I8/SUMPRODUCT(G$7:G$13,I$7:I$13))</f>
        <v>0.46075085324232085</v>
      </c>
      <c r="G8" s="204">
        <f>IF('User interface'!G11="",1,0)</f>
        <v>1</v>
      </c>
      <c r="H8" s="14" t="s">
        <v>12</v>
      </c>
      <c r="I8" s="173">
        <f>'Additional data'!E8</f>
        <v>0.46075085324232085</v>
      </c>
      <c r="J8" s="3">
        <v>12.75</v>
      </c>
      <c r="K8" s="3">
        <f t="shared" si="0"/>
        <v>4353.058873720138</v>
      </c>
      <c r="L8" s="174">
        <f>'Additional data'!G8</f>
        <v>239.64</v>
      </c>
      <c r="M8" s="174">
        <f>'Additional data'!H8</f>
        <v>269.78</v>
      </c>
      <c r="N8" s="25">
        <f aca="true" t="shared" si="1" ref="N8:N13">$K8*L8</f>
        <v>1043167.0284982938</v>
      </c>
      <c r="O8" s="3">
        <f aca="true" t="shared" si="2" ref="O8:O13">$K8*M8</f>
        <v>1174368.2229522187</v>
      </c>
      <c r="P8" s="1"/>
      <c r="Q8" s="24"/>
      <c r="R8" s="24"/>
      <c r="S8" s="104"/>
    </row>
    <row r="9" spans="2:19" ht="15" customHeight="1">
      <c r="B9" s="105"/>
      <c r="C9" s="14" t="str">
        <f>'User interface'!C12</f>
        <v>Liquid natural gas (LNG)</v>
      </c>
      <c r="D9" s="14"/>
      <c r="E9" s="73" t="s">
        <v>3</v>
      </c>
      <c r="F9" s="169">
        <f>IF(ISNUMBER('User interface'!G12),'User interface'!G12,(1-SUM('User interface'!G$10:G$16))*Calculation!I9/SUMPRODUCT(G$7:G$13,I$7:I$13))</f>
        <v>0.0537542662116041</v>
      </c>
      <c r="G9" s="204">
        <f>IF('User interface'!G12="",1,0)</f>
        <v>1</v>
      </c>
      <c r="H9" s="14" t="s">
        <v>19</v>
      </c>
      <c r="I9" s="173">
        <f>'Additional data'!E9</f>
        <v>0.0537542662116041</v>
      </c>
      <c r="J9" s="3">
        <v>12.07</v>
      </c>
      <c r="K9" s="3">
        <f t="shared" si="0"/>
        <v>480.77116894197957</v>
      </c>
      <c r="L9" s="174">
        <f>'Additional data'!G9</f>
        <v>301.92</v>
      </c>
      <c r="M9" s="174">
        <f>'Additional data'!H9</f>
        <v>324.86</v>
      </c>
      <c r="N9" s="25">
        <f t="shared" si="1"/>
        <v>145154.43132696248</v>
      </c>
      <c r="O9" s="3">
        <f t="shared" si="2"/>
        <v>156183.3219424915</v>
      </c>
      <c r="P9" s="1"/>
      <c r="Q9" s="24"/>
      <c r="R9" s="24"/>
      <c r="S9" s="104"/>
    </row>
    <row r="10" spans="2:19" ht="15" customHeight="1">
      <c r="B10" s="105"/>
      <c r="C10" s="14" t="str">
        <f>'User interface'!C13</f>
        <v>Fuel oil</v>
      </c>
      <c r="D10" s="14"/>
      <c r="E10" s="73" t="s">
        <v>3</v>
      </c>
      <c r="F10" s="169">
        <f>IF(ISNUMBER('User interface'!G13),'User interface'!G13,(1-SUM('User interface'!G$10:G$16))*Calculation!I10/SUMPRODUCT(G$7:G$13,I$7:I$13))</f>
        <v>0.22866894197952217</v>
      </c>
      <c r="G10" s="204">
        <f>IF('User interface'!G13="",1,0)</f>
        <v>1</v>
      </c>
      <c r="H10" s="14" t="s">
        <v>20</v>
      </c>
      <c r="I10" s="173">
        <f>'Additional data'!E10</f>
        <v>0.22866894197952217</v>
      </c>
      <c r="J10" s="3">
        <v>20.06</v>
      </c>
      <c r="K10" s="3">
        <f t="shared" si="0"/>
        <v>3399.040341296928</v>
      </c>
      <c r="L10" s="174">
        <f>'Additional data'!G10</f>
        <v>351.39</v>
      </c>
      <c r="M10" s="174">
        <f>'Additional data'!H10</f>
        <v>370.11</v>
      </c>
      <c r="N10" s="25">
        <f t="shared" si="1"/>
        <v>1194388.7855283276</v>
      </c>
      <c r="O10" s="3">
        <f t="shared" si="2"/>
        <v>1258018.820717406</v>
      </c>
      <c r="P10" s="1"/>
      <c r="Q10" s="24"/>
      <c r="R10" s="24"/>
      <c r="S10" s="104"/>
    </row>
    <row r="11" spans="2:19" ht="15" customHeight="1">
      <c r="B11" s="105"/>
      <c r="C11" s="14" t="str">
        <f>'User interface'!C14</f>
        <v>Coal</v>
      </c>
      <c r="D11" s="14"/>
      <c r="E11" s="73" t="s">
        <v>3</v>
      </c>
      <c r="F11" s="169">
        <f>IF(ISNUMBER('User interface'!G14),'User interface'!G14,(1-SUM('User interface'!G$10:G$16))*Calculation!I11/SUMPRODUCT(G$7:G$13,I$7:I$13))</f>
        <v>0.017064846416382253</v>
      </c>
      <c r="G11" s="204">
        <f>IF('User interface'!G14="",1,0)</f>
        <v>1</v>
      </c>
      <c r="H11" s="14" t="s">
        <v>15</v>
      </c>
      <c r="I11" s="173">
        <f>'Additional data'!E11</f>
        <v>0.017064846416382253</v>
      </c>
      <c r="J11" s="3">
        <v>7.02</v>
      </c>
      <c r="K11" s="3">
        <f t="shared" si="0"/>
        <v>88.76825938566553</v>
      </c>
      <c r="L11" s="174">
        <f>'Additional data'!G11</f>
        <v>532.25</v>
      </c>
      <c r="M11" s="174">
        <f>'Additional data'!H11</f>
        <v>533.41</v>
      </c>
      <c r="N11" s="25">
        <f t="shared" si="1"/>
        <v>47246.906058020475</v>
      </c>
      <c r="O11" s="3">
        <f t="shared" si="2"/>
        <v>47349.87723890785</v>
      </c>
      <c r="P11" s="1"/>
      <c r="Q11" s="24"/>
      <c r="R11" s="24"/>
      <c r="S11" s="104"/>
    </row>
    <row r="12" spans="2:19" ht="15" customHeight="1">
      <c r="B12" s="105"/>
      <c r="C12" s="14" t="str">
        <f>'User interface'!C15</f>
        <v>Wood</v>
      </c>
      <c r="D12" s="1"/>
      <c r="E12" s="73" t="s">
        <v>3</v>
      </c>
      <c r="F12" s="169">
        <f>IF(ISNUMBER('User interface'!G15),'User interface'!G15,(1-SUM('User interface'!G$10:G$16))*Calculation!I12/SUMPRODUCT(G$7:G$13,I$7:I$13))</f>
        <v>0.0537542662116041</v>
      </c>
      <c r="G12" s="204">
        <f>IF('User interface'!G15="",1,0)</f>
        <v>1</v>
      </c>
      <c r="H12" s="14" t="s">
        <v>16</v>
      </c>
      <c r="I12" s="173">
        <f>'Additional data'!E12</f>
        <v>0.0537542662116041</v>
      </c>
      <c r="J12" s="3">
        <v>8.4</v>
      </c>
      <c r="K12" s="3">
        <f t="shared" si="0"/>
        <v>334.5880546075086</v>
      </c>
      <c r="L12" s="174">
        <f>'Additional data'!G12</f>
        <v>27.77</v>
      </c>
      <c r="M12" s="174">
        <f>'Additional data'!H12</f>
        <v>28.83</v>
      </c>
      <c r="N12" s="25">
        <f t="shared" si="1"/>
        <v>9291.510276450514</v>
      </c>
      <c r="O12" s="3">
        <f t="shared" si="2"/>
        <v>9646.173614334471</v>
      </c>
      <c r="P12" s="1"/>
      <c r="Q12" s="24"/>
      <c r="R12" s="24"/>
      <c r="S12" s="104"/>
    </row>
    <row r="13" spans="2:19" ht="15" customHeight="1">
      <c r="B13" s="105"/>
      <c r="C13" s="14" t="str">
        <f>'User interface'!C16</f>
        <v>Electric heating</v>
      </c>
      <c r="D13" s="1"/>
      <c r="E13" s="73" t="s">
        <v>3</v>
      </c>
      <c r="F13" s="169">
        <f>IF(ISNUMBER('User interface'!G16),'User interface'!G16,(1-SUM('User interface'!G$10:G$16))*Calculation!I13/SUMPRODUCT(G$7:G$13,I$7:I$13))</f>
        <v>0.11433447098976109</v>
      </c>
      <c r="G13" s="204">
        <f>IF('User interface'!G16="",1,0)</f>
        <v>1</v>
      </c>
      <c r="H13" s="19" t="s">
        <v>17</v>
      </c>
      <c r="I13" s="173">
        <f>'Additional data'!E13</f>
        <v>0.11433447098976109</v>
      </c>
      <c r="J13" s="3">
        <f>11.872-3.132</f>
        <v>8.74</v>
      </c>
      <c r="K13" s="3">
        <f t="shared" si="0"/>
        <v>740.4689078498294</v>
      </c>
      <c r="L13" s="174">
        <f>'Additional data'!G13</f>
        <v>586.26</v>
      </c>
      <c r="M13" s="174">
        <f>'Additional data'!H13</f>
        <v>609.09</v>
      </c>
      <c r="N13" s="25">
        <f t="shared" si="1"/>
        <v>434107.301916041</v>
      </c>
      <c r="O13" s="3">
        <f t="shared" si="2"/>
        <v>451012.2070822526</v>
      </c>
      <c r="P13" s="1"/>
      <c r="Q13" s="24"/>
      <c r="R13" s="24"/>
      <c r="S13" s="104"/>
    </row>
    <row r="14" spans="2:19" ht="15" customHeight="1">
      <c r="B14" s="105"/>
      <c r="C14" s="1"/>
      <c r="D14" s="1"/>
      <c r="E14" s="73"/>
      <c r="F14" s="163"/>
      <c r="G14" s="1"/>
      <c r="H14" s="1" t="s">
        <v>23</v>
      </c>
      <c r="I14" s="66"/>
      <c r="J14" s="5"/>
      <c r="K14" s="5">
        <f>SUM(K7:K13)</f>
        <v>9699.418131399318</v>
      </c>
      <c r="L14" s="6"/>
      <c r="M14" s="6"/>
      <c r="N14" s="94">
        <f>SUM(N7:N13)</f>
        <v>2958784.260327645</v>
      </c>
      <c r="O14" s="5">
        <f>SUM(O7:O13)</f>
        <v>3197385.2245715014</v>
      </c>
      <c r="P14" s="1"/>
      <c r="Q14" s="24"/>
      <c r="R14" s="24"/>
      <c r="S14" s="104"/>
    </row>
    <row r="15" spans="2:19" ht="15" customHeight="1">
      <c r="B15" s="105"/>
      <c r="C15" s="1"/>
      <c r="D15" s="1"/>
      <c r="E15" s="73"/>
      <c r="F15" s="53"/>
      <c r="G15" s="1"/>
      <c r="H15" s="147" t="s">
        <v>55</v>
      </c>
      <c r="I15" s="156"/>
      <c r="J15" s="1"/>
      <c r="K15" s="145" t="str">
        <f>K6</f>
        <v>FE (GWh/a)</v>
      </c>
      <c r="L15" s="1"/>
      <c r="M15" s="1"/>
      <c r="N15" s="146" t="str">
        <f>N6</f>
        <v>CO2 local (t/a)</v>
      </c>
      <c r="O15" s="145" t="str">
        <f>O6</f>
        <v>CO2 total (t/a)</v>
      </c>
      <c r="P15" s="1"/>
      <c r="Q15" s="24"/>
      <c r="R15" s="24"/>
      <c r="S15" s="104"/>
    </row>
    <row r="16" spans="2:19" ht="15" customHeight="1" thickBot="1">
      <c r="B16" s="105"/>
      <c r="C16" s="4"/>
      <c r="D16" s="4"/>
      <c r="E16" s="73"/>
      <c r="F16" s="53"/>
      <c r="G16" s="1"/>
      <c r="H16" s="20" t="s">
        <v>21</v>
      </c>
      <c r="I16" s="67">
        <v>1</v>
      </c>
      <c r="J16" s="7">
        <v>3.13</v>
      </c>
      <c r="K16" s="7">
        <f>$F$6*I16*J16/1000</f>
        <v>2319.33</v>
      </c>
      <c r="L16" s="27">
        <v>586.26</v>
      </c>
      <c r="M16" s="27">
        <v>609.09</v>
      </c>
      <c r="N16" s="27">
        <f>$K16*L16</f>
        <v>1359730.4057999998</v>
      </c>
      <c r="O16" s="7">
        <f>$K16*M16</f>
        <v>1412680.7097</v>
      </c>
      <c r="P16" s="1"/>
      <c r="Q16" s="24"/>
      <c r="R16" s="24"/>
      <c r="S16" s="104"/>
    </row>
    <row r="17" spans="2:19" ht="15" customHeight="1">
      <c r="B17" s="105"/>
      <c r="C17" s="1"/>
      <c r="D17" s="1"/>
      <c r="E17" s="73"/>
      <c r="F17" s="53"/>
      <c r="G17" s="1"/>
      <c r="H17" s="4" t="s">
        <v>56</v>
      </c>
      <c r="I17" s="68"/>
      <c r="J17" s="3"/>
      <c r="K17" s="148">
        <f>SUM(K14:K16)</f>
        <v>12018.748131399318</v>
      </c>
      <c r="L17" s="3"/>
      <c r="M17" s="3"/>
      <c r="N17" s="149">
        <f>SUM(N14:N16)</f>
        <v>4318514.6661276445</v>
      </c>
      <c r="O17" s="148">
        <f>SUM(O14:O16)</f>
        <v>4610065.934271501</v>
      </c>
      <c r="P17" s="1"/>
      <c r="Q17" s="24"/>
      <c r="R17" s="24"/>
      <c r="S17" s="104"/>
    </row>
    <row r="18" spans="2:19" ht="15" customHeight="1">
      <c r="B18" s="105"/>
      <c r="C18" s="1"/>
      <c r="D18" s="1"/>
      <c r="E18" s="73"/>
      <c r="F18" s="38"/>
      <c r="G18" s="2"/>
      <c r="H18" s="1"/>
      <c r="I18" s="65"/>
      <c r="J18" s="3"/>
      <c r="K18" s="3"/>
      <c r="L18" s="3"/>
      <c r="M18" s="3"/>
      <c r="N18" s="25"/>
      <c r="O18" s="3"/>
      <c r="P18" s="1"/>
      <c r="Q18" s="24"/>
      <c r="R18" s="24"/>
      <c r="S18" s="104"/>
    </row>
    <row r="19" spans="2:19" s="144" customFormat="1" ht="15" customHeight="1">
      <c r="B19" s="157"/>
      <c r="C19" s="4" t="s">
        <v>66</v>
      </c>
      <c r="D19" s="4"/>
      <c r="E19" s="73" t="s">
        <v>25</v>
      </c>
      <c r="F19" s="170">
        <f>IF(ISNUMBER('User interface'!G20),'User interface'!G20,)</f>
        <v>783500</v>
      </c>
      <c r="G19" s="59"/>
      <c r="H19" s="21"/>
      <c r="I19" s="69"/>
      <c r="J19" s="18"/>
      <c r="K19" s="18" t="str">
        <f>J5</f>
        <v>Final energy consumption</v>
      </c>
      <c r="L19" s="21"/>
      <c r="M19" s="18" t="str">
        <f>L5</f>
        <v>Emission factors</v>
      </c>
      <c r="N19" s="158"/>
      <c r="O19" s="18" t="str">
        <f>N5</f>
        <v>CO2 emissions</v>
      </c>
      <c r="P19" s="4"/>
      <c r="Q19" s="21"/>
      <c r="R19" s="21" t="s">
        <v>59</v>
      </c>
      <c r="S19" s="159"/>
    </row>
    <row r="20" spans="2:19" ht="15" customHeight="1">
      <c r="B20" s="105"/>
      <c r="C20" s="48" t="s">
        <v>85</v>
      </c>
      <c r="D20" s="1"/>
      <c r="E20" s="73"/>
      <c r="F20" s="38"/>
      <c r="G20" s="2"/>
      <c r="H20" s="11" t="s">
        <v>22</v>
      </c>
      <c r="I20" s="55" t="s">
        <v>147</v>
      </c>
      <c r="J20" s="12" t="s">
        <v>67</v>
      </c>
      <c r="K20" s="13" t="str">
        <f>K6</f>
        <v>FE (GWh/a)</v>
      </c>
      <c r="L20" s="12" t="str">
        <f>L6</f>
        <v>EF local (t/GWh)</v>
      </c>
      <c r="M20" s="12" t="str">
        <f>M6</f>
        <v>EF total (t/GWh)</v>
      </c>
      <c r="N20" s="93" t="s">
        <v>58</v>
      </c>
      <c r="O20" s="13" t="str">
        <f>O6</f>
        <v>CO2 total (t/a)</v>
      </c>
      <c r="P20" s="1"/>
      <c r="Q20" s="145" t="str">
        <f>K6</f>
        <v>FE (GWh/a)</v>
      </c>
      <c r="R20" s="145" t="str">
        <f>O6</f>
        <v>CO2 total (t/a)</v>
      </c>
      <c r="S20" s="104"/>
    </row>
    <row r="21" spans="2:19" ht="15" customHeight="1">
      <c r="B21" s="105"/>
      <c r="C21" s="14" t="s">
        <v>32</v>
      </c>
      <c r="D21" s="14"/>
      <c r="E21" s="73" t="s">
        <v>25</v>
      </c>
      <c r="F21" s="171">
        <f>IF(ISNUMBER('User interface'!G22),'User interface'!G22,($F$19-SUM('User interface'!G$22:G$28))*Calculation!I21/SUMPRODUCT(G$21:G$27,I$21:I$27))</f>
        <v>17100</v>
      </c>
      <c r="G21" s="204">
        <f>IF('User interface'!G22="",1,0)</f>
        <v>0</v>
      </c>
      <c r="H21" s="204"/>
      <c r="I21" s="173">
        <f>'Additional data'!F17</f>
        <v>0.09134066777601085</v>
      </c>
      <c r="J21" s="175">
        <f>'Additional data'!G17/1000</f>
        <v>4.877</v>
      </c>
      <c r="K21" s="3">
        <f>F21*J21/1000</f>
        <v>83.3967</v>
      </c>
      <c r="L21" s="25">
        <v>218.19</v>
      </c>
      <c r="M21" s="25">
        <v>234.85</v>
      </c>
      <c r="N21" s="25">
        <f>$K21*L21</f>
        <v>18196.325973</v>
      </c>
      <c r="O21" s="3">
        <f>$K21*M21</f>
        <v>19585.714995</v>
      </c>
      <c r="P21" s="1"/>
      <c r="Q21" s="16">
        <f>K21+K33</f>
        <v>112.8258</v>
      </c>
      <c r="R21" s="16">
        <f>O21+O33</f>
        <v>37510.685514</v>
      </c>
      <c r="S21" s="104"/>
    </row>
    <row r="22" spans="2:19" ht="15" customHeight="1">
      <c r="B22" s="105"/>
      <c r="C22" s="14" t="s">
        <v>80</v>
      </c>
      <c r="D22" s="14"/>
      <c r="E22" s="73" t="s">
        <v>25</v>
      </c>
      <c r="F22" s="171">
        <f>IF(ISNUMBER('User interface'!G23),'User interface'!G23,($F$19-SUM('User interface'!G$22:G$28))*Calculation!I22/SUMPRODUCT(G$21:G$27,I$21:I$27))</f>
        <v>551000</v>
      </c>
      <c r="G22" s="204">
        <f>IF('User interface'!G23="",1,0)</f>
        <v>0</v>
      </c>
      <c r="H22" s="204"/>
      <c r="I22" s="173">
        <f>'Additional data'!F18</f>
        <v>0.44707258871213806</v>
      </c>
      <c r="J22" s="175">
        <f>'Additional data'!G18/1000</f>
        <v>6.868</v>
      </c>
      <c r="K22" s="3">
        <f aca="true" t="shared" si="3" ref="K22:K30">F22*J22/1000</f>
        <v>3784.268</v>
      </c>
      <c r="L22" s="25">
        <v>218.19</v>
      </c>
      <c r="M22" s="25">
        <v>234.85</v>
      </c>
      <c r="N22" s="25">
        <f aca="true" t="shared" si="4" ref="N22:N30">$K22*L22</f>
        <v>825689.43492</v>
      </c>
      <c r="O22" s="3">
        <f aca="true" t="shared" si="5" ref="O22:O30">$K22*M22</f>
        <v>888735.3398</v>
      </c>
      <c r="P22" s="1"/>
      <c r="Q22" s="16">
        <f aca="true" t="shared" si="6" ref="Q22:Q30">K22+K34</f>
        <v>5117.137</v>
      </c>
      <c r="R22" s="16">
        <f aca="true" t="shared" si="7" ref="R22:R30">O22+O34</f>
        <v>1700572.51901</v>
      </c>
      <c r="S22" s="104"/>
    </row>
    <row r="23" spans="2:19" ht="15" customHeight="1">
      <c r="B23" s="105"/>
      <c r="C23" s="14" t="s">
        <v>45</v>
      </c>
      <c r="D23" s="14"/>
      <c r="E23" s="73" t="s">
        <v>25</v>
      </c>
      <c r="F23" s="171">
        <f>IF(ISNUMBER('User interface'!G24),'User interface'!G24,($F$19-SUM('User interface'!G$22:G$28))*Calculation!I23/SUMPRODUCT(G$21:G$27,I$21:I$27))</f>
        <v>109000</v>
      </c>
      <c r="G23" s="204">
        <f>IF('User interface'!G24="",1,0)</f>
        <v>0</v>
      </c>
      <c r="H23" s="204"/>
      <c r="I23" s="173">
        <f>'Additional data'!F19</f>
        <v>0.03525237862267919</v>
      </c>
      <c r="J23" s="175">
        <f>'Additional data'!G19/1000</f>
        <v>7.672</v>
      </c>
      <c r="K23" s="3">
        <f t="shared" si="3"/>
        <v>836.248</v>
      </c>
      <c r="L23" s="25">
        <v>218.19</v>
      </c>
      <c r="M23" s="25">
        <v>234.85</v>
      </c>
      <c r="N23" s="25">
        <f t="shared" si="4"/>
        <v>182460.95112</v>
      </c>
      <c r="O23" s="3">
        <f t="shared" si="5"/>
        <v>196392.8428</v>
      </c>
      <c r="P23" s="1"/>
      <c r="Q23" s="16">
        <f t="shared" si="6"/>
        <v>1358.14</v>
      </c>
      <c r="R23" s="16">
        <f t="shared" si="7"/>
        <v>514272.0410800001</v>
      </c>
      <c r="S23" s="104"/>
    </row>
    <row r="24" spans="2:19" ht="15" customHeight="1">
      <c r="B24" s="105"/>
      <c r="C24" s="14" t="s">
        <v>79</v>
      </c>
      <c r="D24" s="14"/>
      <c r="E24" s="73" t="s">
        <v>25</v>
      </c>
      <c r="F24" s="171">
        <f>IF(ISNUMBER('User interface'!G25),'User interface'!G25,($F$19-SUM('User interface'!G$22:G$28))*Calculation!I24/SUMPRODUCT(G$21:G$27,I$21:I$27))</f>
        <v>62432.75758620562</v>
      </c>
      <c r="G24" s="204">
        <f>IF('User interface'!G25="",1,0)</f>
        <v>1</v>
      </c>
      <c r="H24" s="204"/>
      <c r="I24" s="173">
        <f>'Additional data'!F20</f>
        <v>0.23474378160010573</v>
      </c>
      <c r="J24" s="175">
        <f>'Additional data'!G20/1000</f>
        <v>7.554</v>
      </c>
      <c r="K24" s="3">
        <f t="shared" si="3"/>
        <v>471.61705080619726</v>
      </c>
      <c r="L24" s="25">
        <v>218.19</v>
      </c>
      <c r="M24" s="25">
        <v>234.85</v>
      </c>
      <c r="N24" s="25">
        <f t="shared" si="4"/>
        <v>102902.12431540417</v>
      </c>
      <c r="O24" s="3">
        <f t="shared" si="5"/>
        <v>110759.26438183543</v>
      </c>
      <c r="P24" s="1"/>
      <c r="Q24" s="16">
        <f t="shared" si="6"/>
        <v>800.2630867399837</v>
      </c>
      <c r="R24" s="16">
        <f t="shared" si="7"/>
        <v>310934.27840874536</v>
      </c>
      <c r="S24" s="104"/>
    </row>
    <row r="25" spans="2:19" ht="15" customHeight="1">
      <c r="B25" s="105"/>
      <c r="C25" s="14" t="s">
        <v>78</v>
      </c>
      <c r="D25" s="14"/>
      <c r="E25" s="73" t="s">
        <v>25</v>
      </c>
      <c r="F25" s="171">
        <f>IF(ISNUMBER('User interface'!G26),'User interface'!G26,($F$19-SUM('User interface'!G$22:G$28))*Calculation!I25/SUMPRODUCT(G$21:G$27,I$21:I$27))</f>
        <v>41632.704078081915</v>
      </c>
      <c r="G25" s="204">
        <f>IF('User interface'!G26="",1,0)</f>
        <v>1</v>
      </c>
      <c r="H25" s="204"/>
      <c r="I25" s="173">
        <f>'Additional data'!F21</f>
        <v>0.1565367087947821</v>
      </c>
      <c r="J25" s="175">
        <f>'Additional data'!G21/1000</f>
        <v>13.206</v>
      </c>
      <c r="K25" s="3">
        <f t="shared" si="3"/>
        <v>549.8014900551498</v>
      </c>
      <c r="L25" s="25">
        <v>218.19</v>
      </c>
      <c r="M25" s="25">
        <v>234.85</v>
      </c>
      <c r="N25" s="25">
        <f t="shared" si="4"/>
        <v>119961.18711513313</v>
      </c>
      <c r="O25" s="3">
        <f t="shared" si="5"/>
        <v>129120.87993945192</v>
      </c>
      <c r="P25" s="1"/>
      <c r="Q25" s="16">
        <f t="shared" si="6"/>
        <v>735.8580445800978</v>
      </c>
      <c r="R25" s="16">
        <f t="shared" si="7"/>
        <v>242446.06673505256</v>
      </c>
      <c r="S25" s="104"/>
    </row>
    <row r="26" spans="2:19" ht="15" customHeight="1">
      <c r="B26" s="105"/>
      <c r="C26" s="14" t="s">
        <v>34</v>
      </c>
      <c r="D26" s="14"/>
      <c r="E26" s="73" t="s">
        <v>25</v>
      </c>
      <c r="F26" s="171">
        <f>IF(ISNUMBER('User interface'!G27),'User interface'!G27,($F$19-SUM('User interface'!G$22:G$28))*Calculation!I26/SUMPRODUCT(G$21:G$27,I$21:I$27))</f>
        <v>1834.538335712476</v>
      </c>
      <c r="G26" s="204">
        <f>IF('User interface'!G27="",1,0)</f>
        <v>1</v>
      </c>
      <c r="H26" s="204"/>
      <c r="I26" s="173">
        <f>'Additional data'!F22</f>
        <v>0.0068977646201336664</v>
      </c>
      <c r="J26" s="175">
        <f>'Additional data'!G22/1000</f>
        <v>12.264</v>
      </c>
      <c r="K26" s="3">
        <f t="shared" si="3"/>
        <v>22.498778149177806</v>
      </c>
      <c r="L26" s="25">
        <v>218.19</v>
      </c>
      <c r="M26" s="25">
        <v>234.85</v>
      </c>
      <c r="N26" s="25">
        <f t="shared" si="4"/>
        <v>4909.008404369106</v>
      </c>
      <c r="O26" s="3">
        <f t="shared" si="5"/>
        <v>5283.838048334407</v>
      </c>
      <c r="P26" s="1"/>
      <c r="Q26" s="16">
        <f t="shared" si="6"/>
        <v>37.325516978406036</v>
      </c>
      <c r="R26" s="16">
        <f t="shared" si="7"/>
        <v>14314.65640182903</v>
      </c>
      <c r="S26" s="104"/>
    </row>
    <row r="27" spans="2:19" ht="15" customHeight="1">
      <c r="B27" s="105"/>
      <c r="C27" s="31" t="s">
        <v>33</v>
      </c>
      <c r="D27" s="14"/>
      <c r="E27" s="73" t="s">
        <v>25</v>
      </c>
      <c r="F27" s="171">
        <f>IF(ISNUMBER('User interface'!G28),'User interface'!G28,($F$19-SUM('User interface'!G$22:G$28))*Calculation!I27/SUMPRODUCT(G$21:G$27,I$21:I$27))</f>
        <v>500</v>
      </c>
      <c r="G27" s="204">
        <f>IF('User interface'!G28="",1,0)</f>
        <v>0</v>
      </c>
      <c r="H27" s="204"/>
      <c r="I27" s="173">
        <f>'Additional data'!F23</f>
        <v>0.028156109874150414</v>
      </c>
      <c r="J27" s="176">
        <f>'Additional data'!G23/1000</f>
        <v>54.52</v>
      </c>
      <c r="K27" s="3">
        <f t="shared" si="3"/>
        <v>27.26</v>
      </c>
      <c r="L27" s="25">
        <v>218.19</v>
      </c>
      <c r="M27" s="25">
        <v>234.85</v>
      </c>
      <c r="N27" s="25">
        <f t="shared" si="4"/>
        <v>5947.8594</v>
      </c>
      <c r="O27" s="3">
        <f t="shared" si="5"/>
        <v>6402.011</v>
      </c>
      <c r="P27" s="1"/>
      <c r="Q27" s="16">
        <f t="shared" si="6"/>
        <v>31.189500000000002</v>
      </c>
      <c r="R27" s="16">
        <f t="shared" si="7"/>
        <v>8795.430155</v>
      </c>
      <c r="S27" s="104"/>
    </row>
    <row r="28" spans="2:19" ht="15" customHeight="1">
      <c r="B28" s="105"/>
      <c r="C28" s="14" t="s">
        <v>29</v>
      </c>
      <c r="D28" s="14"/>
      <c r="E28" s="73" t="s">
        <v>26</v>
      </c>
      <c r="F28" s="172">
        <f>IF(ISNUMBER('User interface'!G29),'User interface'!G29,$F$19*I28)</f>
        <v>22655.7734494213</v>
      </c>
      <c r="G28" s="1"/>
      <c r="H28" s="22"/>
      <c r="I28" s="177">
        <f>'Additional data'!I24</f>
        <v>0.02891611161381149</v>
      </c>
      <c r="J28" s="175">
        <f>'Additional data'!G24/1000</f>
        <v>16.636</v>
      </c>
      <c r="K28" s="3">
        <f t="shared" si="3"/>
        <v>376.90144710457275</v>
      </c>
      <c r="L28" s="25">
        <v>218.19</v>
      </c>
      <c r="M28" s="25">
        <v>234.85</v>
      </c>
      <c r="N28" s="25">
        <f t="shared" si="4"/>
        <v>82236.12674374673</v>
      </c>
      <c r="O28" s="3">
        <f t="shared" si="5"/>
        <v>88515.30485250891</v>
      </c>
      <c r="P28" s="1"/>
      <c r="Q28" s="16">
        <f t="shared" si="6"/>
        <v>609.7574866177249</v>
      </c>
      <c r="R28" s="16">
        <f t="shared" si="7"/>
        <v>230345.58995957475</v>
      </c>
      <c r="S28" s="104"/>
    </row>
    <row r="29" spans="2:19" ht="15" customHeight="1">
      <c r="B29" s="105"/>
      <c r="C29" s="14" t="s">
        <v>30</v>
      </c>
      <c r="D29" s="14"/>
      <c r="E29" s="73" t="s">
        <v>27</v>
      </c>
      <c r="F29" s="171">
        <f>IF(ISNUMBER('User interface'!G30),'User interface'!G30,$F$19*I29)</f>
        <v>476787.44478733744</v>
      </c>
      <c r="G29" s="1"/>
      <c r="H29" s="1"/>
      <c r="I29" s="178">
        <f>'Additional data'!I25</f>
        <v>0.6085353475269144</v>
      </c>
      <c r="J29" s="175">
        <f>'Additional data'!G25/1000</f>
        <v>1.436</v>
      </c>
      <c r="K29" s="3">
        <f t="shared" si="3"/>
        <v>684.6667707146165</v>
      </c>
      <c r="L29" s="25">
        <v>218.19</v>
      </c>
      <c r="M29" s="25">
        <v>234.85</v>
      </c>
      <c r="N29" s="25">
        <f t="shared" si="4"/>
        <v>149387.44270222218</v>
      </c>
      <c r="O29" s="3">
        <f t="shared" si="5"/>
        <v>160793.99110232768</v>
      </c>
      <c r="P29" s="1"/>
      <c r="Q29" s="16">
        <f t="shared" si="6"/>
        <v>805.7707816906002</v>
      </c>
      <c r="R29" s="16">
        <f t="shared" si="7"/>
        <v>234557.2331476896</v>
      </c>
      <c r="S29" s="104"/>
    </row>
    <row r="30" spans="2:19" ht="15" customHeight="1">
      <c r="B30" s="105"/>
      <c r="C30" s="14" t="s">
        <v>81</v>
      </c>
      <c r="D30" s="14"/>
      <c r="E30" s="73" t="s">
        <v>28</v>
      </c>
      <c r="F30" s="171">
        <f>IF(ISNUMBER('User interface'!G31),'User interface'!G31,$F$19*I30)</f>
        <v>154135.79036204072</v>
      </c>
      <c r="G30" s="1"/>
      <c r="H30" s="1"/>
      <c r="I30" s="178">
        <f>'Additional data'!I26</f>
        <v>0.1967272372202179</v>
      </c>
      <c r="J30" s="175">
        <f>'Additional data'!G26/1000</f>
        <v>2.168</v>
      </c>
      <c r="K30" s="3">
        <f t="shared" si="3"/>
        <v>334.1663935049043</v>
      </c>
      <c r="L30" s="25">
        <v>218.19</v>
      </c>
      <c r="M30" s="25">
        <v>234.85</v>
      </c>
      <c r="N30" s="25">
        <f t="shared" si="4"/>
        <v>72911.76539883506</v>
      </c>
      <c r="O30" s="3">
        <f t="shared" si="5"/>
        <v>78478.97751462678</v>
      </c>
      <c r="P30" s="1"/>
      <c r="Q30" s="16">
        <f t="shared" si="6"/>
        <v>496.6255165464952</v>
      </c>
      <c r="R30" s="16">
        <f t="shared" si="7"/>
        <v>177431.2047680294</v>
      </c>
      <c r="S30" s="104"/>
    </row>
    <row r="31" spans="2:19" ht="15" customHeight="1">
      <c r="B31" s="105"/>
      <c r="C31" s="1"/>
      <c r="D31" s="1"/>
      <c r="E31" s="73"/>
      <c r="F31" s="53"/>
      <c r="G31" s="1"/>
      <c r="H31" s="23" t="s">
        <v>23</v>
      </c>
      <c r="I31" s="66"/>
      <c r="J31" s="5"/>
      <c r="K31" s="5">
        <f>SUM(K21:K30)</f>
        <v>7170.824630334619</v>
      </c>
      <c r="L31" s="5"/>
      <c r="M31" s="5"/>
      <c r="N31" s="94">
        <f>SUM(N21:N30)</f>
        <v>1564602.2260927102</v>
      </c>
      <c r="O31" s="5">
        <f>SUM(O21:O30)</f>
        <v>1684068.164434085</v>
      </c>
      <c r="P31" s="1"/>
      <c r="Q31" s="24"/>
      <c r="R31" s="24"/>
      <c r="S31" s="104"/>
    </row>
    <row r="32" spans="2:19" ht="15" customHeight="1">
      <c r="B32" s="105"/>
      <c r="C32" s="1"/>
      <c r="D32" s="1"/>
      <c r="E32" s="73"/>
      <c r="F32" s="53"/>
      <c r="G32" s="1"/>
      <c r="H32" s="8" t="s">
        <v>21</v>
      </c>
      <c r="I32" s="70"/>
      <c r="J32" s="17" t="str">
        <f>J20</f>
        <v>FE (MWh/unit*a)</v>
      </c>
      <c r="K32" s="13" t="str">
        <f>K6</f>
        <v>FE (GWh/a)</v>
      </c>
      <c r="L32" s="17" t="str">
        <f>L6</f>
        <v>EF local (t/GWh)</v>
      </c>
      <c r="M32" s="17" t="str">
        <f>M6</f>
        <v>EF total (t/GWh)</v>
      </c>
      <c r="N32" s="95"/>
      <c r="O32" s="9"/>
      <c r="P32" s="1"/>
      <c r="Q32" s="24"/>
      <c r="R32" s="24"/>
      <c r="S32" s="104"/>
    </row>
    <row r="33" spans="2:19" ht="15" customHeight="1">
      <c r="B33" s="105"/>
      <c r="C33" s="1"/>
      <c r="D33" s="1"/>
      <c r="E33" s="73"/>
      <c r="F33" s="53"/>
      <c r="G33" s="1"/>
      <c r="H33" s="1"/>
      <c r="I33" s="56"/>
      <c r="J33" s="175">
        <f>'Additional data'!H17/1000</f>
        <v>1.721</v>
      </c>
      <c r="K33" s="3">
        <f>F21*J33/1000</f>
        <v>29.429100000000002</v>
      </c>
      <c r="L33" s="25">
        <v>586.26</v>
      </c>
      <c r="M33" s="25">
        <v>609.09</v>
      </c>
      <c r="N33" s="25">
        <f>$K33*L33</f>
        <v>17253.104166</v>
      </c>
      <c r="O33" s="3">
        <f>$K33*M33</f>
        <v>17924.970519000002</v>
      </c>
      <c r="P33" s="1"/>
      <c r="Q33" s="24"/>
      <c r="R33" s="24"/>
      <c r="S33" s="104"/>
    </row>
    <row r="34" spans="2:19" ht="15" customHeight="1">
      <c r="B34" s="105"/>
      <c r="C34" s="1"/>
      <c r="D34" s="1"/>
      <c r="E34" s="73"/>
      <c r="F34" s="53"/>
      <c r="G34" s="1"/>
      <c r="H34" s="1"/>
      <c r="I34" s="56"/>
      <c r="J34" s="175">
        <f>'Additional data'!H18/1000</f>
        <v>2.419</v>
      </c>
      <c r="K34" s="3">
        <f aca="true" t="shared" si="8" ref="K34:K42">F22*J34/1000</f>
        <v>1332.869</v>
      </c>
      <c r="L34" s="25">
        <v>586.26</v>
      </c>
      <c r="M34" s="25">
        <v>609.09</v>
      </c>
      <c r="N34" s="25">
        <f aca="true" t="shared" si="9" ref="N34:N42">$K34*L34</f>
        <v>781407.7799399999</v>
      </c>
      <c r="O34" s="3">
        <f aca="true" t="shared" si="10" ref="O34:O42">$K34*M34</f>
        <v>811837.17921</v>
      </c>
      <c r="P34" s="1"/>
      <c r="Q34" s="24"/>
      <c r="R34" s="24"/>
      <c r="S34" s="104"/>
    </row>
    <row r="35" spans="2:19" ht="15" customHeight="1">
      <c r="B35" s="105"/>
      <c r="C35" s="1"/>
      <c r="D35" s="1"/>
      <c r="E35" s="73"/>
      <c r="F35" s="53"/>
      <c r="G35" s="1"/>
      <c r="H35" s="1"/>
      <c r="I35" s="56"/>
      <c r="J35" s="175">
        <f>'Additional data'!H19/1000</f>
        <v>4.788</v>
      </c>
      <c r="K35" s="3">
        <f t="shared" si="8"/>
        <v>521.892</v>
      </c>
      <c r="L35" s="25">
        <v>586.26</v>
      </c>
      <c r="M35" s="25">
        <v>609.09</v>
      </c>
      <c r="N35" s="25">
        <f t="shared" si="9"/>
        <v>305964.40392</v>
      </c>
      <c r="O35" s="3">
        <f t="shared" si="10"/>
        <v>317879.19828000007</v>
      </c>
      <c r="P35" s="1"/>
      <c r="Q35" s="24"/>
      <c r="R35" s="24"/>
      <c r="S35" s="104"/>
    </row>
    <row r="36" spans="2:19" ht="15" customHeight="1">
      <c r="B36" s="105"/>
      <c r="C36" s="1"/>
      <c r="D36" s="1"/>
      <c r="E36" s="73"/>
      <c r="F36" s="53"/>
      <c r="G36" s="1"/>
      <c r="H36" s="1"/>
      <c r="I36" s="56"/>
      <c r="J36" s="175">
        <f>'Additional data'!H20/1000</f>
        <v>5.264</v>
      </c>
      <c r="K36" s="3">
        <f t="shared" si="8"/>
        <v>328.6460359337864</v>
      </c>
      <c r="L36" s="25">
        <v>586.26</v>
      </c>
      <c r="M36" s="25">
        <v>609.09</v>
      </c>
      <c r="N36" s="25">
        <f t="shared" si="9"/>
        <v>192672.0250265416</v>
      </c>
      <c r="O36" s="3">
        <f t="shared" si="10"/>
        <v>200175.01402690995</v>
      </c>
      <c r="P36" s="1"/>
      <c r="Q36" s="24"/>
      <c r="R36" s="24"/>
      <c r="S36" s="104"/>
    </row>
    <row r="37" spans="2:19" ht="15" customHeight="1">
      <c r="B37" s="105"/>
      <c r="C37" s="1"/>
      <c r="D37" s="1"/>
      <c r="E37" s="73"/>
      <c r="F37" s="53"/>
      <c r="G37" s="1"/>
      <c r="H37" s="1"/>
      <c r="I37" s="56"/>
      <c r="J37" s="175">
        <f>'Additional data'!H21/1000</f>
        <v>4.469</v>
      </c>
      <c r="K37" s="3">
        <f t="shared" si="8"/>
        <v>186.0565545249481</v>
      </c>
      <c r="L37" s="25">
        <v>586.26</v>
      </c>
      <c r="M37" s="25">
        <v>609.09</v>
      </c>
      <c r="N37" s="25">
        <f t="shared" si="9"/>
        <v>109077.51565579607</v>
      </c>
      <c r="O37" s="3">
        <f t="shared" si="10"/>
        <v>113325.18679560065</v>
      </c>
      <c r="P37" s="1"/>
      <c r="Q37" s="24"/>
      <c r="R37" s="24"/>
      <c r="S37" s="104"/>
    </row>
    <row r="38" spans="2:19" ht="15" customHeight="1">
      <c r="B38" s="105"/>
      <c r="C38" s="1"/>
      <c r="D38" s="1"/>
      <c r="E38" s="73"/>
      <c r="F38" s="53"/>
      <c r="G38" s="1"/>
      <c r="H38" s="1"/>
      <c r="I38" s="56"/>
      <c r="J38" s="175">
        <f>'Additional data'!H22/1000</f>
        <v>8.082</v>
      </c>
      <c r="K38" s="3">
        <f t="shared" si="8"/>
        <v>14.826738829228232</v>
      </c>
      <c r="L38" s="25">
        <v>586.26</v>
      </c>
      <c r="M38" s="25">
        <v>609.09</v>
      </c>
      <c r="N38" s="25">
        <f t="shared" si="9"/>
        <v>8692.323906023343</v>
      </c>
      <c r="O38" s="3">
        <f t="shared" si="10"/>
        <v>9030.818353494624</v>
      </c>
      <c r="P38" s="1"/>
      <c r="Q38" s="24"/>
      <c r="R38" s="24"/>
      <c r="S38" s="104"/>
    </row>
    <row r="39" spans="2:19" ht="15" customHeight="1">
      <c r="B39" s="105"/>
      <c r="C39" s="1"/>
      <c r="D39" s="1"/>
      <c r="E39" s="73"/>
      <c r="F39" s="53"/>
      <c r="G39" s="1"/>
      <c r="H39" s="1"/>
      <c r="I39" s="56"/>
      <c r="J39" s="176">
        <f>'Additional data'!H23/1000</f>
        <v>7.859</v>
      </c>
      <c r="K39" s="3">
        <f t="shared" si="8"/>
        <v>3.9295</v>
      </c>
      <c r="L39" s="25">
        <v>586.26</v>
      </c>
      <c r="M39" s="25">
        <v>609.09</v>
      </c>
      <c r="N39" s="25">
        <f t="shared" si="9"/>
        <v>2303.70867</v>
      </c>
      <c r="O39" s="3">
        <f t="shared" si="10"/>
        <v>2393.419155</v>
      </c>
      <c r="P39" s="1"/>
      <c r="Q39" s="24"/>
      <c r="R39" s="24"/>
      <c r="S39" s="104"/>
    </row>
    <row r="40" spans="2:19" ht="15" customHeight="1">
      <c r="B40" s="105"/>
      <c r="C40" s="1"/>
      <c r="D40" s="1"/>
      <c r="E40" s="73"/>
      <c r="F40" s="53"/>
      <c r="G40" s="1"/>
      <c r="H40" s="22"/>
      <c r="I40" s="57"/>
      <c r="J40" s="175">
        <f>'Additional data'!H24/1000</f>
        <v>10.278</v>
      </c>
      <c r="K40" s="3">
        <f t="shared" si="8"/>
        <v>232.85603951315213</v>
      </c>
      <c r="L40" s="25">
        <v>586.26</v>
      </c>
      <c r="M40" s="25">
        <v>609.09</v>
      </c>
      <c r="N40" s="25">
        <f t="shared" si="9"/>
        <v>136514.18172498056</v>
      </c>
      <c r="O40" s="3">
        <f t="shared" si="10"/>
        <v>141830.28510706584</v>
      </c>
      <c r="P40" s="1"/>
      <c r="Q40" s="24"/>
      <c r="R40" s="24"/>
      <c r="S40" s="104"/>
    </row>
    <row r="41" spans="2:19" ht="15" customHeight="1">
      <c r="B41" s="105"/>
      <c r="C41" s="1"/>
      <c r="D41" s="1"/>
      <c r="E41" s="73"/>
      <c r="F41" s="53"/>
      <c r="G41" s="1"/>
      <c r="H41" s="1"/>
      <c r="I41" s="160"/>
      <c r="J41" s="175">
        <f>'Additional data'!H25/1000</f>
        <v>0.254</v>
      </c>
      <c r="K41" s="3">
        <f t="shared" si="8"/>
        <v>121.10401097598371</v>
      </c>
      <c r="L41" s="25">
        <v>586.26</v>
      </c>
      <c r="M41" s="25">
        <v>609.09</v>
      </c>
      <c r="N41" s="25">
        <f t="shared" si="9"/>
        <v>70998.4374747802</v>
      </c>
      <c r="O41" s="3">
        <f t="shared" si="10"/>
        <v>73763.24204536193</v>
      </c>
      <c r="P41" s="1"/>
      <c r="Q41" s="24"/>
      <c r="R41" s="24"/>
      <c r="S41" s="104"/>
    </row>
    <row r="42" spans="2:19" ht="15" customHeight="1">
      <c r="B42" s="105"/>
      <c r="C42" s="1"/>
      <c r="D42" s="1"/>
      <c r="E42" s="73"/>
      <c r="F42" s="53"/>
      <c r="G42" s="1"/>
      <c r="H42" s="1"/>
      <c r="I42" s="160"/>
      <c r="J42" s="175">
        <f>'Additional data'!H26/1000</f>
        <v>1.054</v>
      </c>
      <c r="K42" s="3">
        <f t="shared" si="8"/>
        <v>162.4591230415909</v>
      </c>
      <c r="L42" s="25">
        <v>586.26</v>
      </c>
      <c r="M42" s="25">
        <v>609.09</v>
      </c>
      <c r="N42" s="25">
        <f t="shared" si="9"/>
        <v>95243.28547436309</v>
      </c>
      <c r="O42" s="3">
        <f t="shared" si="10"/>
        <v>98952.22725340261</v>
      </c>
      <c r="P42" s="1"/>
      <c r="Q42" s="24"/>
      <c r="R42" s="24"/>
      <c r="S42" s="104"/>
    </row>
    <row r="43" spans="2:19" ht="15" customHeight="1" thickBot="1">
      <c r="B43" s="105"/>
      <c r="C43" s="1"/>
      <c r="D43" s="1"/>
      <c r="E43" s="73"/>
      <c r="F43" s="53"/>
      <c r="G43" s="1"/>
      <c r="H43" s="26" t="s">
        <v>24</v>
      </c>
      <c r="I43" s="67"/>
      <c r="J43" s="7"/>
      <c r="K43" s="7">
        <f>SUM(K33:K42)</f>
        <v>2934.06810281869</v>
      </c>
      <c r="L43" s="7"/>
      <c r="M43" s="7"/>
      <c r="N43" s="27">
        <f>SUM(N33:N42)</f>
        <v>1720126.7659584847</v>
      </c>
      <c r="O43" s="7">
        <f>SUM(O33:O42)</f>
        <v>1787111.540745836</v>
      </c>
      <c r="P43" s="1"/>
      <c r="Q43" s="24"/>
      <c r="R43" s="24"/>
      <c r="S43" s="104"/>
    </row>
    <row r="44" spans="2:19" ht="15" customHeight="1">
      <c r="B44" s="105"/>
      <c r="C44" s="1"/>
      <c r="D44" s="1"/>
      <c r="E44" s="73"/>
      <c r="F44" s="53"/>
      <c r="G44" s="1"/>
      <c r="H44" s="4" t="s">
        <v>65</v>
      </c>
      <c r="I44" s="65"/>
      <c r="J44" s="3"/>
      <c r="K44" s="148">
        <f>K31+K43</f>
        <v>10104.892733153309</v>
      </c>
      <c r="L44" s="3"/>
      <c r="M44" s="3"/>
      <c r="N44" s="149">
        <f>N31+N43</f>
        <v>3284728.992051195</v>
      </c>
      <c r="O44" s="148">
        <f>O31+O43</f>
        <v>3471179.705179921</v>
      </c>
      <c r="P44" s="1"/>
      <c r="Q44" s="24"/>
      <c r="R44" s="24"/>
      <c r="S44" s="104"/>
    </row>
    <row r="45" spans="2:19" ht="15" customHeight="1">
      <c r="B45" s="105"/>
      <c r="C45" s="1"/>
      <c r="D45" s="1"/>
      <c r="E45" s="73"/>
      <c r="F45" s="53"/>
      <c r="G45" s="1"/>
      <c r="H45" s="1"/>
      <c r="I45" s="65"/>
      <c r="J45" s="3"/>
      <c r="K45" s="3"/>
      <c r="L45" s="3"/>
      <c r="M45" s="3"/>
      <c r="N45" s="25"/>
      <c r="O45" s="3"/>
      <c r="P45" s="1"/>
      <c r="Q45" s="24"/>
      <c r="R45" s="24"/>
      <c r="S45" s="104"/>
    </row>
    <row r="46" spans="2:19" ht="15" customHeight="1">
      <c r="B46" s="105"/>
      <c r="C46" s="4" t="s">
        <v>61</v>
      </c>
      <c r="D46" s="4"/>
      <c r="E46" s="73" t="s">
        <v>25</v>
      </c>
      <c r="F46" s="170">
        <f>IF(ISNUMBER('User interface'!G34),'User interface'!G34,)</f>
        <v>100000</v>
      </c>
      <c r="G46" s="161"/>
      <c r="H46" s="21"/>
      <c r="I46" s="69"/>
      <c r="J46" s="18"/>
      <c r="K46" s="18" t="str">
        <f>J5</f>
        <v>Final energy consumption</v>
      </c>
      <c r="L46" s="21"/>
      <c r="M46" s="18" t="str">
        <f>L5</f>
        <v>Emission factors</v>
      </c>
      <c r="N46" s="158"/>
      <c r="O46" s="18" t="str">
        <f>N5</f>
        <v>CO2 emissions</v>
      </c>
      <c r="P46" s="1"/>
      <c r="Q46" s="24"/>
      <c r="R46" s="24"/>
      <c r="S46" s="104"/>
    </row>
    <row r="47" spans="2:19" ht="15" customHeight="1">
      <c r="B47" s="105"/>
      <c r="C47" s="48" t="s">
        <v>85</v>
      </c>
      <c r="D47" s="1"/>
      <c r="E47" s="73"/>
      <c r="F47" s="53"/>
      <c r="G47" s="1"/>
      <c r="H47" s="11" t="s">
        <v>90</v>
      </c>
      <c r="I47" s="55" t="s">
        <v>147</v>
      </c>
      <c r="J47" s="12" t="str">
        <f>J20</f>
        <v>FE (MWh/unit*a)</v>
      </c>
      <c r="K47" s="13" t="str">
        <f>K20</f>
        <v>FE (GWh/a)</v>
      </c>
      <c r="L47" s="12" t="str">
        <f>L6</f>
        <v>EF local (t/GWh)</v>
      </c>
      <c r="M47" s="12" t="str">
        <f>M6</f>
        <v>EF total (t/GWh)</v>
      </c>
      <c r="N47" s="93" t="str">
        <f>N6</f>
        <v>CO2 local (t/a)</v>
      </c>
      <c r="O47" s="13" t="str">
        <f>O6</f>
        <v>CO2 total (t/a)</v>
      </c>
      <c r="P47" s="1"/>
      <c r="Q47" s="24"/>
      <c r="R47" s="24"/>
      <c r="S47" s="104"/>
    </row>
    <row r="48" spans="2:19" ht="15" customHeight="1">
      <c r="B48" s="105"/>
      <c r="C48" s="14" t="s">
        <v>35</v>
      </c>
      <c r="D48" s="14"/>
      <c r="E48" s="73" t="s">
        <v>25</v>
      </c>
      <c r="F48" s="171">
        <f>IF(ISNUMBER('User interface'!G36),'User interface'!G36,('User interface'!G$34-SUM('User interface'!G$36:G$49))*I48/SUMPRODUCT(G$48:G$61,I$48:I$61))</f>
        <v>485.7468643101483</v>
      </c>
      <c r="G48" s="204">
        <f>IF('User interface'!G36="",1,0)</f>
        <v>1</v>
      </c>
      <c r="H48" s="1"/>
      <c r="I48" s="173">
        <f>'Additional data'!E31/SUM('Additional data'!E$31:E$44)</f>
        <v>0.0038910505836575876</v>
      </c>
      <c r="J48" s="3">
        <v>267.56324074074075</v>
      </c>
      <c r="K48" s="3">
        <f>IF(ISNUMBER(F48),F48*J48/1000,$F$46*I48*J48/1000)</f>
        <v>129.96800519447615</v>
      </c>
      <c r="L48" s="180">
        <f>'Additional data'!F31</f>
        <v>394.3217994097449</v>
      </c>
      <c r="M48" s="180">
        <f>'Additional data'!G31</f>
        <v>409.6030148086313</v>
      </c>
      <c r="N48" s="25">
        <f>$K48*L48</f>
        <v>51249.21767398091</v>
      </c>
      <c r="O48" s="3">
        <f>$K48*M48</f>
        <v>53235.286756321286</v>
      </c>
      <c r="P48" s="1"/>
      <c r="Q48" s="24"/>
      <c r="R48" s="24"/>
      <c r="S48" s="104"/>
    </row>
    <row r="49" spans="2:19" ht="15" customHeight="1">
      <c r="B49" s="105"/>
      <c r="C49" s="14" t="s">
        <v>70</v>
      </c>
      <c r="D49" s="14"/>
      <c r="E49" s="73" t="s">
        <v>25</v>
      </c>
      <c r="F49" s="171">
        <f>IF(ISNUMBER('User interface'!G37),'User interface'!G37,('User interface'!G$34-SUM('User interface'!G$36:G$49))*I49/SUMPRODUCT(G$48:G$61,I$48:I$61))</f>
        <v>5000</v>
      </c>
      <c r="G49" s="204">
        <f>IF('User interface'!G37="",1,0)</f>
        <v>0</v>
      </c>
      <c r="H49" s="1"/>
      <c r="I49" s="173">
        <f>'Additional data'!E32/SUM('Additional data'!E$31:E$44)</f>
        <v>0.10197795071335927</v>
      </c>
      <c r="J49" s="3">
        <v>88.71702349408234</v>
      </c>
      <c r="K49" s="3">
        <f aca="true" t="shared" si="11" ref="K49:K61">IF(ISNUMBER(F49),F49*J49/1000,$F$46*I49*J49/1000)</f>
        <v>443.5851174704117</v>
      </c>
      <c r="L49" s="180">
        <f>'Additional data'!F32</f>
        <v>350.13095528349845</v>
      </c>
      <c r="M49" s="180">
        <f>'Additional data'!G32</f>
        <v>366.1102269960975</v>
      </c>
      <c r="N49" s="25">
        <f aca="true" t="shared" si="12" ref="N49:N61">$K49*L49</f>
        <v>155312.88092945813</v>
      </c>
      <c r="O49" s="3">
        <f aca="true" t="shared" si="13" ref="O49:O61">$K49*M49</f>
        <v>162401.048049183</v>
      </c>
      <c r="P49" s="1"/>
      <c r="Q49" s="24"/>
      <c r="R49" s="24"/>
      <c r="S49" s="104"/>
    </row>
    <row r="50" spans="2:19" ht="15" customHeight="1">
      <c r="B50" s="105"/>
      <c r="C50" s="14" t="s">
        <v>37</v>
      </c>
      <c r="D50" s="14"/>
      <c r="E50" s="73" t="s">
        <v>25</v>
      </c>
      <c r="F50" s="171">
        <f>IF(ISNUMBER('User interface'!G38),'User interface'!G38,('User interface'!G$34-SUM('User interface'!G$36:G$49))*I50/SUMPRODUCT(G$48:G$61,I$48:I$61))</f>
        <v>1300</v>
      </c>
      <c r="G50" s="204">
        <f>IF('User interface'!G38="",1,0)</f>
        <v>0</v>
      </c>
      <c r="H50" s="1"/>
      <c r="I50" s="173">
        <f>'Additional data'!E33/SUM('Additional data'!E$31:E$44)</f>
        <v>0.02237354085603113</v>
      </c>
      <c r="J50" s="3">
        <v>470.5649295491143</v>
      </c>
      <c r="K50" s="3">
        <f t="shared" si="11"/>
        <v>611.7344084138487</v>
      </c>
      <c r="L50" s="180">
        <f>'Additional data'!F33</f>
        <v>326.43343674593433</v>
      </c>
      <c r="M50" s="180">
        <f>'Additional data'!G33</f>
        <v>339.1820176487039</v>
      </c>
      <c r="N50" s="25">
        <f t="shared" si="12"/>
        <v>199690.5653142736</v>
      </c>
      <c r="O50" s="3">
        <f t="shared" si="13"/>
        <v>207489.31091094544</v>
      </c>
      <c r="P50" s="1"/>
      <c r="Q50" s="24"/>
      <c r="R50" s="24"/>
      <c r="S50" s="104"/>
    </row>
    <row r="51" spans="2:19" ht="15" customHeight="1">
      <c r="B51" s="105"/>
      <c r="C51" s="14" t="s">
        <v>38</v>
      </c>
      <c r="D51" s="14"/>
      <c r="E51" s="73" t="s">
        <v>25</v>
      </c>
      <c r="F51" s="171">
        <f>IF(ISNUMBER('User interface'!G39),'User interface'!G39,('User interface'!G$34-SUM('User interface'!G$36:G$49))*I51/SUMPRODUCT(G$48:G$61,I$48:I$61))</f>
        <v>2100</v>
      </c>
      <c r="G51" s="204">
        <f>IF('User interface'!G39="",1,0)</f>
        <v>0</v>
      </c>
      <c r="H51" s="1"/>
      <c r="I51" s="173">
        <f>'Additional data'!E34/SUM('Additional data'!E$31:E$44)</f>
        <v>0.02529182879377432</v>
      </c>
      <c r="J51" s="3">
        <v>682.8415384615384</v>
      </c>
      <c r="K51" s="3">
        <f t="shared" si="11"/>
        <v>1433.9672307692308</v>
      </c>
      <c r="L51" s="180">
        <f>'Additional data'!F34</f>
        <v>342.9770811413581</v>
      </c>
      <c r="M51" s="180">
        <f>'Additional data'!G34</f>
        <v>356.6334260654989</v>
      </c>
      <c r="N51" s="25">
        <f t="shared" si="12"/>
        <v>491817.89526158705</v>
      </c>
      <c r="O51" s="3">
        <f t="shared" si="13"/>
        <v>511400.6463748867</v>
      </c>
      <c r="P51" s="1"/>
      <c r="Q51" s="24"/>
      <c r="R51" s="24"/>
      <c r="S51" s="104"/>
    </row>
    <row r="52" spans="2:19" ht="15" customHeight="1">
      <c r="B52" s="105"/>
      <c r="C52" s="14" t="s">
        <v>151</v>
      </c>
      <c r="D52" s="14"/>
      <c r="E52" s="73" t="s">
        <v>25</v>
      </c>
      <c r="F52" s="171">
        <f>IF(ISNUMBER('User interface'!G40),'User interface'!G40,('User interface'!G$34-SUM('User interface'!G$36:G$49))*I52/SUMPRODUCT(G$48:G$61,I$48:I$61))</f>
        <v>1000</v>
      </c>
      <c r="G52" s="204">
        <f>IF('User interface'!G40="",1,0)</f>
        <v>0</v>
      </c>
      <c r="H52" s="1"/>
      <c r="I52" s="173">
        <f>'Additional data'!E35/SUM('Additional data'!E$31:E$44)</f>
        <v>0.046206225680933855</v>
      </c>
      <c r="J52" s="3">
        <v>91.29993469785573</v>
      </c>
      <c r="K52" s="3">
        <f t="shared" si="11"/>
        <v>91.29993469785573</v>
      </c>
      <c r="L52" s="180">
        <f>'Additional data'!F35</f>
        <v>331.7773189066673</v>
      </c>
      <c r="M52" s="180">
        <f>'Additional data'!G35</f>
        <v>347.4167994380239</v>
      </c>
      <c r="N52" s="25">
        <f t="shared" si="12"/>
        <v>30291.24755040838</v>
      </c>
      <c r="O52" s="3">
        <f t="shared" si="13"/>
        <v>31719.13110162962</v>
      </c>
      <c r="P52" s="1"/>
      <c r="Q52" s="24"/>
      <c r="R52" s="24"/>
      <c r="S52" s="104"/>
    </row>
    <row r="53" spans="2:19" ht="15" customHeight="1">
      <c r="B53" s="105"/>
      <c r="C53" s="14" t="s">
        <v>71</v>
      </c>
      <c r="D53" s="14"/>
      <c r="E53" s="73" t="s">
        <v>25</v>
      </c>
      <c r="F53" s="171">
        <f>IF(ISNUMBER('User interface'!G41),'User interface'!G41,('User interface'!G$34-SUM('User interface'!G$36:G$49))*I53/SUMPRODUCT(G$48:G$61,I$48:I$61))</f>
        <v>500</v>
      </c>
      <c r="G53" s="204">
        <f>IF('User interface'!G41="",1,0)</f>
        <v>0</v>
      </c>
      <c r="H53" s="1"/>
      <c r="I53" s="173">
        <f>'Additional data'!E36/SUM('Additional data'!E$31:E$44)</f>
        <v>0.05771725032425422</v>
      </c>
      <c r="J53" s="3">
        <v>65.66811564994208</v>
      </c>
      <c r="K53" s="3">
        <f t="shared" si="11"/>
        <v>32.83405782497104</v>
      </c>
      <c r="L53" s="180">
        <f>'Additional data'!F36</f>
        <v>436.3996391689047</v>
      </c>
      <c r="M53" s="180">
        <f>'Additional data'!G36</f>
        <v>452.2134450280992</v>
      </c>
      <c r="N53" s="25">
        <f t="shared" si="12"/>
        <v>14328.770987268314</v>
      </c>
      <c r="O53" s="3">
        <f t="shared" si="13"/>
        <v>14848.002403281973</v>
      </c>
      <c r="P53" s="1"/>
      <c r="Q53" s="24"/>
      <c r="R53" s="24"/>
      <c r="S53" s="104"/>
    </row>
    <row r="54" spans="2:19" ht="15" customHeight="1">
      <c r="B54" s="105"/>
      <c r="C54" s="14" t="s">
        <v>72</v>
      </c>
      <c r="D54" s="14"/>
      <c r="E54" s="73" t="s">
        <v>25</v>
      </c>
      <c r="F54" s="171">
        <f>IF(ISNUMBER('User interface'!G42),'User interface'!G42,('User interface'!G$34-SUM('User interface'!G$36:G$49))*I54/SUMPRODUCT(G$48:G$61,I$48:I$61))</f>
        <v>1801.3112884834663</v>
      </c>
      <c r="G54" s="204">
        <f>IF('User interface'!G42="",1,0)</f>
        <v>1</v>
      </c>
      <c r="H54" s="1"/>
      <c r="I54" s="173">
        <f>'Additional data'!E37/SUM('Additional data'!E$31:E$44)</f>
        <v>0.014429312581063555</v>
      </c>
      <c r="J54" s="3">
        <v>282.4173033707865</v>
      </c>
      <c r="K54" s="3">
        <f t="shared" si="11"/>
        <v>508.7214766248574</v>
      </c>
      <c r="L54" s="180">
        <f>'Additional data'!F37</f>
        <v>301.14629025296415</v>
      </c>
      <c r="M54" s="180">
        <f>'Additional data'!G37</f>
        <v>318.0586810329196</v>
      </c>
      <c r="N54" s="25">
        <f t="shared" si="12"/>
        <v>153199.58545758584</v>
      </c>
      <c r="O54" s="3">
        <f t="shared" si="13"/>
        <v>161803.28186842139</v>
      </c>
      <c r="P54" s="1"/>
      <c r="Q54" s="24"/>
      <c r="R54" s="24"/>
      <c r="S54" s="104"/>
    </row>
    <row r="55" spans="2:19" ht="15" customHeight="1">
      <c r="B55" s="105"/>
      <c r="C55" s="14" t="s">
        <v>73</v>
      </c>
      <c r="D55" s="14"/>
      <c r="E55" s="73" t="s">
        <v>25</v>
      </c>
      <c r="F55" s="171">
        <f>IF(ISNUMBER('User interface'!G43),'User interface'!G43,('User interface'!G$34-SUM('User interface'!G$36:G$49))*I55/SUMPRODUCT(G$48:G$61,I$48:I$61))</f>
        <v>2165.621436716078</v>
      </c>
      <c r="G55" s="204">
        <f>IF('User interface'!G43="",1,0)</f>
        <v>1</v>
      </c>
      <c r="H55" s="1"/>
      <c r="I55" s="173">
        <f>'Additional data'!E38/SUM('Additional data'!E$31:E$44)</f>
        <v>0.017347600518806745</v>
      </c>
      <c r="J55" s="3">
        <v>528.4820664883451</v>
      </c>
      <c r="K55" s="3">
        <f t="shared" si="11"/>
        <v>1144.4920921071716</v>
      </c>
      <c r="L55" s="180">
        <f>'Additional data'!F38</f>
        <v>313.8821130501933</v>
      </c>
      <c r="M55" s="180">
        <f>'Additional data'!G38</f>
        <v>322.68162893851064</v>
      </c>
      <c r="N55" s="25">
        <f t="shared" si="12"/>
        <v>359235.5962398355</v>
      </c>
      <c r="O55" s="3">
        <f t="shared" si="13"/>
        <v>369306.5725883861</v>
      </c>
      <c r="P55" s="1"/>
      <c r="Q55" s="24"/>
      <c r="R55" s="24"/>
      <c r="S55" s="104"/>
    </row>
    <row r="56" spans="2:19" ht="15" customHeight="1">
      <c r="B56" s="105"/>
      <c r="C56" s="14" t="s">
        <v>98</v>
      </c>
      <c r="D56" s="14"/>
      <c r="E56" s="73" t="s">
        <v>25</v>
      </c>
      <c r="F56" s="171">
        <f>IF(ISNUMBER('User interface'!G44),'User interface'!G44,('User interface'!G$34-SUM('User interface'!G$36:G$49))*I56/SUMPRODUCT(G$48:G$61,I$48:I$61))</f>
        <v>1538.1984036488027</v>
      </c>
      <c r="G56" s="204">
        <f>IF('User interface'!G44="",1,0)</f>
        <v>1</v>
      </c>
      <c r="H56" s="1"/>
      <c r="I56" s="173">
        <f>'Additional data'!E39/SUM('Additional data'!E$31:E$44)</f>
        <v>0.01232166018158236</v>
      </c>
      <c r="J56" s="3">
        <v>1991.2680300006168</v>
      </c>
      <c r="K56" s="3">
        <f t="shared" si="11"/>
        <v>3062.965304983845</v>
      </c>
      <c r="L56" s="180">
        <f>'Additional data'!F39</f>
        <v>358.490644599174</v>
      </c>
      <c r="M56" s="180">
        <f>'Additional data'!G39</f>
        <v>367.7851587333459</v>
      </c>
      <c r="N56" s="25">
        <f t="shared" si="12"/>
        <v>1098044.406568564</v>
      </c>
      <c r="O56" s="3">
        <f t="shared" si="13"/>
        <v>1126513.1808882146</v>
      </c>
      <c r="P56" s="1"/>
      <c r="Q56" s="24"/>
      <c r="R56" s="24"/>
      <c r="S56" s="104"/>
    </row>
    <row r="57" spans="2:19" ht="15" customHeight="1">
      <c r="B57" s="105"/>
      <c r="C57" s="14" t="s">
        <v>166</v>
      </c>
      <c r="D57" s="14"/>
      <c r="E57" s="73" t="s">
        <v>25</v>
      </c>
      <c r="F57" s="171">
        <f>IF(ISNUMBER('User interface'!G45),'User interface'!G45,('User interface'!G$34-SUM('User interface'!G$36:G$49))*I57/SUMPRODUCT(G$48:G$61,I$48:I$61))</f>
        <v>2671.6077537058154</v>
      </c>
      <c r="G57" s="204">
        <f>IF('User interface'!G45="",1,0)</f>
        <v>1</v>
      </c>
      <c r="H57" s="1"/>
      <c r="I57" s="173">
        <f>'Additional data'!E40/SUM('Additional data'!E$31:E$44)</f>
        <v>0.021400778210116732</v>
      </c>
      <c r="J57" s="3">
        <v>289.42182659932666</v>
      </c>
      <c r="K57" s="3">
        <f t="shared" si="11"/>
        <v>773.2215960344612</v>
      </c>
      <c r="L57" s="180">
        <f>'Additional data'!F40</f>
        <v>439.42944828033296</v>
      </c>
      <c r="M57" s="180">
        <f>'Additional data'!G40</f>
        <v>454.4116541098003</v>
      </c>
      <c r="N57" s="25">
        <f t="shared" si="12"/>
        <v>339776.3393438618</v>
      </c>
      <c r="O57" s="3">
        <f t="shared" si="13"/>
        <v>351360.9044474393</v>
      </c>
      <c r="P57" s="1"/>
      <c r="Q57" s="24"/>
      <c r="R57" s="24"/>
      <c r="S57" s="104"/>
    </row>
    <row r="58" spans="2:19" ht="15" customHeight="1">
      <c r="B58" s="105"/>
      <c r="C58" s="14" t="s">
        <v>77</v>
      </c>
      <c r="D58" s="14"/>
      <c r="E58" s="73" t="s">
        <v>25</v>
      </c>
      <c r="F58" s="171">
        <f>IF(ISNUMBER('User interface'!G46),'User interface'!G46,('User interface'!G$34-SUM('User interface'!G$36:G$49))*I58/SUMPRODUCT(G$48:G$61,I$48:I$61))</f>
        <v>13236.602052451539</v>
      </c>
      <c r="G58" s="204">
        <f>IF('User interface'!G46="",1,0)</f>
        <v>1</v>
      </c>
      <c r="H58" s="1"/>
      <c r="I58" s="173">
        <f>'Additional data'!E41/SUM('Additional data'!E$31:E$44)</f>
        <v>0.10603112840466926</v>
      </c>
      <c r="J58" s="3">
        <v>48.8391373598369</v>
      </c>
      <c r="K58" s="3">
        <f t="shared" si="11"/>
        <v>646.4642258171797</v>
      </c>
      <c r="L58" s="180">
        <f>'Additional data'!F41</f>
        <v>390.02009316071883</v>
      </c>
      <c r="M58" s="180">
        <f>'Additional data'!G41</f>
        <v>406.26637831244466</v>
      </c>
      <c r="N58" s="25">
        <f t="shared" si="12"/>
        <v>252134.0375782884</v>
      </c>
      <c r="O58" s="3">
        <f t="shared" si="13"/>
        <v>262636.679731304</v>
      </c>
      <c r="P58" s="1"/>
      <c r="Q58" s="24"/>
      <c r="R58" s="24"/>
      <c r="S58" s="104"/>
    </row>
    <row r="59" spans="2:19" ht="15" customHeight="1">
      <c r="B59" s="105"/>
      <c r="C59" s="14" t="s">
        <v>74</v>
      </c>
      <c r="D59" s="14"/>
      <c r="E59" s="73" t="s">
        <v>25</v>
      </c>
      <c r="F59" s="171">
        <f>IF(ISNUMBER('User interface'!G47),'User interface'!G47,('User interface'!G$34-SUM('User interface'!G$36:G$49))*I59/SUMPRODUCT(G$48:G$61,I$48:I$61))</f>
        <v>6850</v>
      </c>
      <c r="G59" s="204">
        <f>IF('User interface'!G47="",1,0)</f>
        <v>0</v>
      </c>
      <c r="H59" s="1"/>
      <c r="I59" s="173">
        <f>'Additional data'!E42/SUM('Additional data'!E$31:E$44)</f>
        <v>0.1616407263294423</v>
      </c>
      <c r="J59" s="3">
        <v>24.259041011924662</v>
      </c>
      <c r="K59" s="3">
        <f t="shared" si="11"/>
        <v>166.17443093168393</v>
      </c>
      <c r="L59" s="180">
        <f>'Additional data'!F42</f>
        <v>403.83828048955706</v>
      </c>
      <c r="M59" s="180">
        <f>'Additional data'!G42</f>
        <v>420.516606668041</v>
      </c>
      <c r="N59" s="25">
        <f t="shared" si="12"/>
        <v>67107.5964487819</v>
      </c>
      <c r="O59" s="3">
        <f t="shared" si="13"/>
        <v>69879.10781038448</v>
      </c>
      <c r="P59" s="1"/>
      <c r="Q59" s="24"/>
      <c r="R59" s="24"/>
      <c r="S59" s="104"/>
    </row>
    <row r="60" spans="2:19" ht="15" customHeight="1">
      <c r="B60" s="105"/>
      <c r="C60" s="14" t="s">
        <v>75</v>
      </c>
      <c r="D60" s="14"/>
      <c r="E60" s="73" t="s">
        <v>25</v>
      </c>
      <c r="F60" s="171">
        <f>IF(ISNUMBER('User interface'!G48),'User interface'!G48,('User interface'!G$34-SUM('User interface'!G$36:G$49))*I60/SUMPRODUCT(G$48:G$61,I$48:I$61))</f>
        <v>30000</v>
      </c>
      <c r="G60" s="204">
        <f>IF('User interface'!G48="",1,0)</f>
        <v>0</v>
      </c>
      <c r="H60" s="1"/>
      <c r="I60" s="173">
        <f>'Additional data'!E43/SUM('Additional data'!E$31:E$44)</f>
        <v>0.1582360570687419</v>
      </c>
      <c r="J60" s="3">
        <v>35.339092099271404</v>
      </c>
      <c r="K60" s="3">
        <f t="shared" si="11"/>
        <v>1060.1727629781421</v>
      </c>
      <c r="L60" s="180">
        <f>'Additional data'!F43</f>
        <v>408.3268486679848</v>
      </c>
      <c r="M60" s="180">
        <f>'Additional data'!G43</f>
        <v>424.0493603265571</v>
      </c>
      <c r="N60" s="25">
        <f t="shared" si="12"/>
        <v>432897.0033504951</v>
      </c>
      <c r="O60" s="3">
        <f t="shared" si="13"/>
        <v>449565.58197651984</v>
      </c>
      <c r="P60" s="1"/>
      <c r="Q60" s="24"/>
      <c r="R60" s="24"/>
      <c r="S60" s="104"/>
    </row>
    <row r="61" spans="2:19" ht="15" customHeight="1" thickBot="1">
      <c r="B61" s="105"/>
      <c r="C61" s="14" t="s">
        <v>76</v>
      </c>
      <c r="D61" s="14"/>
      <c r="E61" s="73" t="s">
        <v>25</v>
      </c>
      <c r="F61" s="171">
        <f>IF(ISNUMBER('User interface'!G49),'User interface'!G49,('User interface'!G$34-SUM('User interface'!G$36:G$49))*I61/SUMPRODUCT(G$48:G$61,I$48:I$61))</f>
        <v>31350.91220068415</v>
      </c>
      <c r="G61" s="204">
        <f>IF('User interface'!G49="",1,0)</f>
        <v>1</v>
      </c>
      <c r="H61" s="60"/>
      <c r="I61" s="179">
        <f>'Additional data'!E44/SUM('Additional data'!E$31:E$44)</f>
        <v>0.2511348897535668</v>
      </c>
      <c r="J61" s="61">
        <v>37.09083638189513</v>
      </c>
      <c r="K61" s="61">
        <f t="shared" si="11"/>
        <v>1162.8315548587354</v>
      </c>
      <c r="L61" s="181">
        <f>'Additional data'!F44</f>
        <v>346.5321838529659</v>
      </c>
      <c r="M61" s="181">
        <f>'Additional data'!G44</f>
        <v>359.9761830160167</v>
      </c>
      <c r="N61" s="62">
        <f t="shared" si="12"/>
        <v>402958.5581583375</v>
      </c>
      <c r="O61" s="61">
        <f t="shared" si="13"/>
        <v>418591.66460862744</v>
      </c>
      <c r="P61" s="1"/>
      <c r="Q61" s="24"/>
      <c r="R61" s="24"/>
      <c r="S61" s="104"/>
    </row>
    <row r="62" spans="2:19" ht="15" customHeight="1">
      <c r="B62" s="105"/>
      <c r="C62" s="14"/>
      <c r="D62" s="14"/>
      <c r="E62" s="73"/>
      <c r="F62" s="53"/>
      <c r="G62" s="1"/>
      <c r="H62" s="4" t="s">
        <v>64</v>
      </c>
      <c r="I62" s="65"/>
      <c r="J62" s="3"/>
      <c r="K62" s="148">
        <f>SUM(K48:K61)</f>
        <v>11268.43219870687</v>
      </c>
      <c r="L62" s="3"/>
      <c r="M62" s="3"/>
      <c r="N62" s="149">
        <f>SUM(N48:N61)</f>
        <v>4048043.7008627267</v>
      </c>
      <c r="O62" s="148">
        <f>SUM(O48:O61)</f>
        <v>4190750.399515545</v>
      </c>
      <c r="P62" s="1"/>
      <c r="Q62" s="24"/>
      <c r="R62" s="24"/>
      <c r="S62" s="104"/>
    </row>
    <row r="63" spans="2:19" ht="15" customHeight="1">
      <c r="B63" s="105"/>
      <c r="C63" s="1"/>
      <c r="D63" s="1"/>
      <c r="E63" s="73"/>
      <c r="F63" s="53"/>
      <c r="G63" s="1"/>
      <c r="H63" s="1"/>
      <c r="I63" s="65"/>
      <c r="J63" s="3"/>
      <c r="K63" s="3"/>
      <c r="L63" s="3"/>
      <c r="M63" s="3"/>
      <c r="N63" s="25"/>
      <c r="O63" s="3"/>
      <c r="P63" s="1"/>
      <c r="Q63" s="24"/>
      <c r="R63" s="24"/>
      <c r="S63" s="104"/>
    </row>
    <row r="64" spans="2:19" ht="15" customHeight="1">
      <c r="B64" s="105"/>
      <c r="C64" s="1"/>
      <c r="D64" s="4"/>
      <c r="E64" s="73"/>
      <c r="F64" s="53"/>
      <c r="G64" s="1"/>
      <c r="H64" s="21"/>
      <c r="I64" s="69"/>
      <c r="J64" s="18"/>
      <c r="K64" s="232" t="s">
        <v>138</v>
      </c>
      <c r="L64" s="18"/>
      <c r="M64" s="18" t="str">
        <f>M46</f>
        <v>Emission factors</v>
      </c>
      <c r="N64" s="158"/>
      <c r="O64" s="18" t="str">
        <f>N5</f>
        <v>CO2 emissions</v>
      </c>
      <c r="P64" s="1"/>
      <c r="Q64" s="24"/>
      <c r="R64" s="24"/>
      <c r="S64" s="104"/>
    </row>
    <row r="65" spans="2:19" ht="15" customHeight="1">
      <c r="B65" s="105"/>
      <c r="C65" s="4" t="s">
        <v>62</v>
      </c>
      <c r="D65" s="14"/>
      <c r="E65" s="73" t="s">
        <v>69</v>
      </c>
      <c r="F65" s="168">
        <f>IF(ISNUMBER('User interface'!G8),'User interface'!G8,'User interface'!G7*'Additional data'!O7)</f>
        <v>1364000</v>
      </c>
      <c r="G65" s="1"/>
      <c r="H65" s="58"/>
      <c r="I65" s="63" t="s">
        <v>137</v>
      </c>
      <c r="J65" s="12" t="s">
        <v>148</v>
      </c>
      <c r="K65" s="13" t="s">
        <v>134</v>
      </c>
      <c r="L65" s="12"/>
      <c r="M65" s="12" t="str">
        <f>'Additional data'!G49</f>
        <v>EF total (g/tkm or g/pkm)</v>
      </c>
      <c r="N65" s="96"/>
      <c r="O65" s="13" t="str">
        <f>O6</f>
        <v>CO2 total (t/a)</v>
      </c>
      <c r="P65" s="1"/>
      <c r="Q65" s="24"/>
      <c r="R65" s="24"/>
      <c r="S65" s="104"/>
    </row>
    <row r="66" spans="2:19" ht="15" customHeight="1">
      <c r="B66" s="105"/>
      <c r="C66" s="128" t="s">
        <v>150</v>
      </c>
      <c r="D66" s="1"/>
      <c r="E66" s="73" t="s">
        <v>158</v>
      </c>
      <c r="F66" s="231">
        <f>'Additional data'!D50*Calculation!F$65/'Additional data'!$O$50*1000</f>
        <v>10721.120182048195</v>
      </c>
      <c r="G66" s="1"/>
      <c r="H66" s="1"/>
      <c r="I66" s="162"/>
      <c r="J66" s="223"/>
      <c r="K66" s="18"/>
      <c r="L66" s="16"/>
      <c r="M66" s="162"/>
      <c r="N66" s="25"/>
      <c r="O66" s="148"/>
      <c r="P66" s="1"/>
      <c r="Q66" s="24"/>
      <c r="R66" s="24"/>
      <c r="S66" s="104"/>
    </row>
    <row r="67" spans="2:19" ht="15" customHeight="1">
      <c r="B67" s="105"/>
      <c r="C67" s="191" t="s">
        <v>144</v>
      </c>
      <c r="D67" s="1"/>
      <c r="E67" s="73"/>
      <c r="F67" s="171">
        <f>IF(ISNUMBER('User interface'!G53),'User interface'!G53,(F$66-SUM('User interface'!G$53:G$56))*Calculation!I67/SUMPRODUCT(Calculation!G$67:G$70,Calculation!I$67:I$70))</f>
        <v>1072.1120182048196</v>
      </c>
      <c r="G67" s="204">
        <f>IF('User interface'!G53="",1,0)</f>
        <v>1</v>
      </c>
      <c r="H67" s="1"/>
      <c r="I67" s="65">
        <f>'Additional data'!D51/'Additional data'!D$50</f>
        <v>0.1</v>
      </c>
      <c r="J67" s="163">
        <f>'Additional data'!E51/'Additional data'!D51/3.6</f>
        <v>0.06010647432594882</v>
      </c>
      <c r="K67" s="18">
        <f>J67*F67</f>
        <v>64.44087349676916</v>
      </c>
      <c r="L67" s="16"/>
      <c r="M67" s="162">
        <f>'Additional data'!G51</f>
        <v>34.9</v>
      </c>
      <c r="N67" s="25"/>
      <c r="O67" s="148">
        <f>M67*F67</f>
        <v>37416.7094353482</v>
      </c>
      <c r="P67" s="1"/>
      <c r="Q67" s="24"/>
      <c r="R67" s="24"/>
      <c r="S67" s="104"/>
    </row>
    <row r="68" spans="2:19" ht="15" customHeight="1">
      <c r="B68" s="105"/>
      <c r="C68" s="191" t="s">
        <v>119</v>
      </c>
      <c r="D68" s="1"/>
      <c r="E68" s="73"/>
      <c r="F68" s="171">
        <f>IF(ISNUMBER('User interface'!G54),'User interface'!G54,(F$66-SUM('User interface'!G$53:G$56))*Calculation!I68/SUMPRODUCT(Calculation!G$67:G$70,Calculation!I$67:I$70))</f>
        <v>1898.9804835590774</v>
      </c>
      <c r="G68" s="204">
        <f>IF('User interface'!G54="",1,0)</f>
        <v>1</v>
      </c>
      <c r="H68" s="1"/>
      <c r="I68" s="65">
        <f>'Additional data'!D52/'Additional data'!D$50</f>
        <v>0.17712519319938175</v>
      </c>
      <c r="J68" s="163">
        <f>'Additional data'!E52/'Additional data'!D52/3.6</f>
        <v>0.10543920884235021</v>
      </c>
      <c r="K68" s="18">
        <f aca="true" t="shared" si="14" ref="K68:K77">J68*F68</f>
        <v>200.22699979353274</v>
      </c>
      <c r="L68" s="16"/>
      <c r="M68" s="162">
        <f>'Additional data'!G52</f>
        <v>30.9</v>
      </c>
      <c r="N68" s="25"/>
      <c r="O68" s="148">
        <f aca="true" t="shared" si="15" ref="O68:O77">M68*F68</f>
        <v>58678.496941975485</v>
      </c>
      <c r="P68" s="1"/>
      <c r="Q68" s="24"/>
      <c r="R68" s="24"/>
      <c r="S68" s="104"/>
    </row>
    <row r="69" spans="2:19" ht="15" customHeight="1">
      <c r="B69" s="105"/>
      <c r="C69" s="191" t="s">
        <v>125</v>
      </c>
      <c r="D69" s="1"/>
      <c r="E69" s="73"/>
      <c r="F69" s="171">
        <f>IF(ISNUMBER('User interface'!G55),'User interface'!G55,(F$66-SUM('User interface'!G$53:G$56))*Calculation!I69/SUMPRODUCT(Calculation!G$67:G$70,Calculation!I$67:I$70))</f>
        <v>19.88461239328877</v>
      </c>
      <c r="G69" s="204">
        <f>IF('User interface'!G55="",1,0)</f>
        <v>1</v>
      </c>
      <c r="H69" s="1"/>
      <c r="I69" s="65">
        <f>'Additional data'!D53/'Additional data'!D$50</f>
        <v>0.0018547140649149921</v>
      </c>
      <c r="J69" s="163">
        <f>'Additional data'!E53/'Additional data'!D53/3.6</f>
        <v>19.46759259259259</v>
      </c>
      <c r="K69" s="18">
        <f t="shared" si="14"/>
        <v>387.1055329341633</v>
      </c>
      <c r="L69" s="16"/>
      <c r="M69" s="162">
        <f>'Additional data'!G53</f>
        <v>2038.6</v>
      </c>
      <c r="N69" s="25"/>
      <c r="O69" s="148">
        <f t="shared" si="15"/>
        <v>40536.77082495848</v>
      </c>
      <c r="P69" s="1"/>
      <c r="Q69" s="24"/>
      <c r="R69" s="24"/>
      <c r="S69" s="104"/>
    </row>
    <row r="70" spans="2:19" ht="15" customHeight="1">
      <c r="B70" s="105"/>
      <c r="C70" s="191" t="s">
        <v>117</v>
      </c>
      <c r="D70" s="1"/>
      <c r="E70" s="73"/>
      <c r="F70" s="171">
        <f>IF(ISNUMBER('User interface'!G56),'User interface'!G56,(F$66-SUM('User interface'!G$53:G$56))*Calculation!I70/SUMPRODUCT(Calculation!G$67:G$70,Calculation!I$67:I$70))</f>
        <v>7730.143067891009</v>
      </c>
      <c r="G70" s="204">
        <f>IF('User interface'!G56="",1,0)</f>
        <v>1</v>
      </c>
      <c r="H70" s="1"/>
      <c r="I70" s="65">
        <f>'Additional data'!D54/'Additional data'!D$50</f>
        <v>0.7210200927357032</v>
      </c>
      <c r="J70" s="163">
        <f>'Additional data'!E54/'Additional data'!D54/3.6</f>
        <v>0.41931642253185664</v>
      </c>
      <c r="K70" s="18">
        <f t="shared" si="14"/>
        <v>3241.375936887489</v>
      </c>
      <c r="L70" s="16"/>
      <c r="M70" s="162">
        <f>'Additional data'!G54</f>
        <v>104.4</v>
      </c>
      <c r="N70" s="25"/>
      <c r="O70" s="148">
        <f t="shared" si="15"/>
        <v>807026.9362878214</v>
      </c>
      <c r="P70" s="1"/>
      <c r="Q70" s="24"/>
      <c r="R70" s="24"/>
      <c r="S70" s="104"/>
    </row>
    <row r="71" spans="2:19" ht="15" customHeight="1">
      <c r="B71" s="105"/>
      <c r="C71" s="128" t="s">
        <v>149</v>
      </c>
      <c r="D71" s="1"/>
      <c r="E71" s="73" t="s">
        <v>159</v>
      </c>
      <c r="F71" s="231">
        <f>'Additional data'!D55*Calculation!F$65/'Additional data'!$O$50*1000</f>
        <v>19375.89772622713</v>
      </c>
      <c r="G71" s="1"/>
      <c r="H71" s="224"/>
      <c r="I71" s="224"/>
      <c r="J71" s="226"/>
      <c r="K71" s="227"/>
      <c r="L71" s="228"/>
      <c r="M71" s="225"/>
      <c r="N71" s="229"/>
      <c r="O71" s="230"/>
      <c r="P71" s="1"/>
      <c r="Q71" s="24"/>
      <c r="R71" s="24"/>
      <c r="S71" s="104"/>
    </row>
    <row r="72" spans="2:19" ht="15" customHeight="1">
      <c r="B72" s="105"/>
      <c r="C72" s="191" t="s">
        <v>126</v>
      </c>
      <c r="D72" s="1"/>
      <c r="E72" s="73"/>
      <c r="F72" s="171">
        <f>IF(ISNUMBER('User interface'!G58),'User interface'!G58,(F$71-SUM('User interface'!G$58:G$63))*Calculation!I72/SUMPRODUCT(Calculation!G$72:G$77,Calculation!I$72:I$77))</f>
        <v>636.3075965852405</v>
      </c>
      <c r="G72" s="204">
        <f>IF('User interface'!G58="",1,0)</f>
        <v>1</v>
      </c>
      <c r="H72" s="1"/>
      <c r="I72" s="65">
        <f>'Additional data'!D56/'Additional data'!D$55</f>
        <v>0.03284016077995382</v>
      </c>
      <c r="J72" s="163">
        <v>0</v>
      </c>
      <c r="K72" s="18">
        <f t="shared" si="14"/>
        <v>0</v>
      </c>
      <c r="L72" s="16"/>
      <c r="M72" s="162">
        <f>'Additional data'!G56</f>
        <v>0</v>
      </c>
      <c r="N72" s="25"/>
      <c r="O72" s="148">
        <f t="shared" si="15"/>
        <v>0</v>
      </c>
      <c r="P72" s="1"/>
      <c r="Q72" s="24"/>
      <c r="R72" s="24"/>
      <c r="S72" s="104"/>
    </row>
    <row r="73" spans="2:19" ht="15" customHeight="1">
      <c r="B73" s="105"/>
      <c r="C73" s="191" t="s">
        <v>127</v>
      </c>
      <c r="D73" s="1"/>
      <c r="E73" s="73"/>
      <c r="F73" s="171">
        <f>IF(ISNUMBER('User interface'!G59),'User interface'!G59,(F$71-SUM('User interface'!G$58:G$63))*Calculation!I73/SUMPRODUCT(Calculation!G$72:G$77,Calculation!I$72:I$77))</f>
        <v>502.0864629305414</v>
      </c>
      <c r="G73" s="204">
        <f>IF('User interface'!G59="",1,0)</f>
        <v>1</v>
      </c>
      <c r="H73" s="1"/>
      <c r="I73" s="65">
        <f>'Additional data'!D57/'Additional data'!D$55</f>
        <v>0.025912939365432312</v>
      </c>
      <c r="J73" s="163">
        <v>0</v>
      </c>
      <c r="K73" s="18">
        <f t="shared" si="14"/>
        <v>0</v>
      </c>
      <c r="L73" s="16"/>
      <c r="M73" s="162">
        <f>'Additional data'!G57</f>
        <v>0</v>
      </c>
      <c r="N73" s="25"/>
      <c r="O73" s="148">
        <f t="shared" si="15"/>
        <v>0</v>
      </c>
      <c r="P73" s="1"/>
      <c r="Q73" s="24"/>
      <c r="R73" s="24"/>
      <c r="S73" s="104"/>
    </row>
    <row r="74" spans="2:19" ht="15" customHeight="1">
      <c r="B74" s="105"/>
      <c r="C74" s="191" t="s">
        <v>139</v>
      </c>
      <c r="D74" s="1"/>
      <c r="E74" s="73"/>
      <c r="F74" s="171">
        <f>IF(ISNUMBER('User interface'!G60),'User interface'!G60,(F$71-SUM('User interface'!G$58:G$63))*Calculation!I74/SUMPRODUCT(Calculation!G$72:G$77,Calculation!I$72:I$77))</f>
        <v>1355.4677448091843</v>
      </c>
      <c r="G74" s="204">
        <f>IF('User interface'!G60="",1,0)</f>
        <v>1</v>
      </c>
      <c r="H74" s="1"/>
      <c r="I74" s="65">
        <f>'Additional data'!D58/'Additional data'!D$55</f>
        <v>0.06995638416146413</v>
      </c>
      <c r="J74" s="163">
        <f>'Additional data'!E58/'Additional data'!D58/3.6</f>
        <v>0.15145340939961968</v>
      </c>
      <c r="K74" s="18">
        <f t="shared" si="14"/>
        <v>205.2902112825646</v>
      </c>
      <c r="L74" s="16"/>
      <c r="M74" s="162">
        <f>'Additional data'!G58</f>
        <v>73.5</v>
      </c>
      <c r="N74" s="25"/>
      <c r="O74" s="148">
        <f t="shared" si="15"/>
        <v>99626.87924347505</v>
      </c>
      <c r="P74" s="1"/>
      <c r="Q74" s="24"/>
      <c r="R74" s="24"/>
      <c r="S74" s="104"/>
    </row>
    <row r="75" spans="2:19" ht="15" customHeight="1">
      <c r="B75" s="105"/>
      <c r="C75" s="191" t="s">
        <v>140</v>
      </c>
      <c r="D75" s="1"/>
      <c r="E75" s="73"/>
      <c r="F75" s="171">
        <f>IF(ISNUMBER('User interface'!G61),'User interface'!G61,(F$71-SUM('User interface'!G$58:G$63))*Calculation!I75/SUMPRODUCT(Calculation!G$72:G$77,Calculation!I$72:I$77))</f>
        <v>1335.5831324158955</v>
      </c>
      <c r="G75" s="204">
        <f>IF('User interface'!G61="",1,0)</f>
        <v>1</v>
      </c>
      <c r="H75" s="1"/>
      <c r="I75" s="65">
        <f>'Additional data'!D59/'Additional data'!D$55</f>
        <v>0.06893012913709057</v>
      </c>
      <c r="J75" s="163">
        <f>'Additional data'!E59/'Additional data'!D59/3.6</f>
        <v>0.3853046594982079</v>
      </c>
      <c r="K75" s="18">
        <f t="shared" si="14"/>
        <v>514.6064040670566</v>
      </c>
      <c r="L75" s="16"/>
      <c r="M75" s="162">
        <f>'Additional data'!G59</f>
        <v>73.5</v>
      </c>
      <c r="N75" s="25"/>
      <c r="O75" s="148">
        <f t="shared" si="15"/>
        <v>98165.36023256832</v>
      </c>
      <c r="P75" s="1"/>
      <c r="Q75" s="24"/>
      <c r="R75" s="24"/>
      <c r="S75" s="104"/>
    </row>
    <row r="76" spans="2:19" ht="15" customHeight="1">
      <c r="B76" s="105"/>
      <c r="C76" s="191" t="s">
        <v>125</v>
      </c>
      <c r="D76" s="1"/>
      <c r="E76" s="73"/>
      <c r="F76" s="171">
        <f>IF(ISNUMBER('User interface'!G62),'User interface'!G62,(F$71-SUM('User interface'!G$58:G$63))*Calculation!I76/SUMPRODUCT(Calculation!G$72:G$77,Calculation!I$72:I$77))</f>
        <v>921.3203742223795</v>
      </c>
      <c r="G76" s="204">
        <f>IF('User interface'!G62="",1,0)</f>
        <v>1</v>
      </c>
      <c r="H76" s="1"/>
      <c r="I76" s="65">
        <f>'Additional data'!D60/'Additional data'!D$55</f>
        <v>0.047549816129308135</v>
      </c>
      <c r="J76" s="163">
        <f>'Additional data'!E60/'Additional data'!D60/3.6</f>
        <v>1.6192046362909673</v>
      </c>
      <c r="K76" s="18">
        <f t="shared" si="14"/>
        <v>1491.806221450206</v>
      </c>
      <c r="L76" s="16"/>
      <c r="M76" s="162">
        <f>'Additional data'!G60</f>
        <v>369</v>
      </c>
      <c r="N76" s="25"/>
      <c r="O76" s="148">
        <f t="shared" si="15"/>
        <v>339967.21808805806</v>
      </c>
      <c r="P76" s="1"/>
      <c r="Q76" s="24"/>
      <c r="R76" s="24"/>
      <c r="S76" s="104"/>
    </row>
    <row r="77" spans="2:19" ht="15" customHeight="1" thickBot="1">
      <c r="B77" s="105"/>
      <c r="C77" s="191" t="s">
        <v>141</v>
      </c>
      <c r="D77" s="1"/>
      <c r="E77" s="73"/>
      <c r="F77" s="171">
        <f>IF(ISNUMBER('User interface'!G63),'User interface'!G63,(F$71-SUM('User interface'!G$58:G$63))*Calculation!I77/SUMPRODUCT(Calculation!G$72:G$77,Calculation!I$72:I$77))</f>
        <v>14625.13241526389</v>
      </c>
      <c r="G77" s="204">
        <f>IF('User interface'!G63="",1,0)</f>
        <v>1</v>
      </c>
      <c r="H77" s="60"/>
      <c r="I77" s="74">
        <f>'Additional data'!D61/'Additional data'!D$55</f>
        <v>0.7548105704267511</v>
      </c>
      <c r="J77" s="218">
        <f>'Additional data'!E61/'Additional data'!D61/3.6</f>
        <v>0.5391268222675428</v>
      </c>
      <c r="K77" s="219">
        <f t="shared" si="14"/>
        <v>7884.801164283254</v>
      </c>
      <c r="L77" s="220"/>
      <c r="M77" s="217">
        <f>'Additional data'!G61</f>
        <v>144</v>
      </c>
      <c r="N77" s="62"/>
      <c r="O77" s="221">
        <f t="shared" si="15"/>
        <v>2106019.0677980003</v>
      </c>
      <c r="P77" s="1"/>
      <c r="Q77" s="24"/>
      <c r="R77" s="24"/>
      <c r="S77" s="104"/>
    </row>
    <row r="78" spans="2:19" ht="15" customHeight="1">
      <c r="B78" s="105"/>
      <c r="C78" s="1"/>
      <c r="D78" s="1"/>
      <c r="E78" s="73"/>
      <c r="F78" s="53"/>
      <c r="G78" s="1"/>
      <c r="H78" s="4" t="s">
        <v>133</v>
      </c>
      <c r="I78" s="162"/>
      <c r="J78" s="163"/>
      <c r="K78" s="18">
        <f>SUM(K66:K77)</f>
        <v>13989.653344195036</v>
      </c>
      <c r="L78" s="16"/>
      <c r="M78" s="162"/>
      <c r="N78" s="25"/>
      <c r="O78" s="148">
        <f>SUM(O66:O77)</f>
        <v>3587437.438852205</v>
      </c>
      <c r="P78" s="1"/>
      <c r="Q78" s="24"/>
      <c r="R78" s="24"/>
      <c r="S78" s="104"/>
    </row>
    <row r="79" spans="2:19" ht="15" customHeight="1">
      <c r="B79" s="105"/>
      <c r="C79" s="1"/>
      <c r="D79" s="1"/>
      <c r="E79" s="73"/>
      <c r="F79" s="53"/>
      <c r="G79" s="1"/>
      <c r="H79" s="1"/>
      <c r="I79" s="162"/>
      <c r="J79" s="163"/>
      <c r="K79" s="18"/>
      <c r="L79" s="16"/>
      <c r="M79" s="162"/>
      <c r="N79" s="25"/>
      <c r="O79" s="148"/>
      <c r="P79" s="1"/>
      <c r="Q79" s="24"/>
      <c r="R79" s="24"/>
      <c r="S79" s="104"/>
    </row>
    <row r="80" spans="2:19" ht="15" customHeight="1">
      <c r="B80" s="105"/>
      <c r="C80" s="1"/>
      <c r="D80" s="1"/>
      <c r="E80" s="73"/>
      <c r="F80" s="53"/>
      <c r="G80" s="1"/>
      <c r="H80" s="1"/>
      <c r="I80" s="65"/>
      <c r="J80" s="3"/>
      <c r="K80" s="3"/>
      <c r="L80" s="3"/>
      <c r="M80" s="3"/>
      <c r="N80" s="25"/>
      <c r="O80" s="3"/>
      <c r="P80" s="1"/>
      <c r="Q80" s="24"/>
      <c r="R80" s="24"/>
      <c r="S80" s="104"/>
    </row>
    <row r="81" spans="2:19" ht="15" customHeight="1">
      <c r="B81" s="105"/>
      <c r="C81" s="4" t="s">
        <v>91</v>
      </c>
      <c r="D81" s="1"/>
      <c r="E81" s="73"/>
      <c r="F81" s="53"/>
      <c r="G81" s="1"/>
      <c r="H81" s="21"/>
      <c r="I81" s="69"/>
      <c r="J81" s="18"/>
      <c r="K81" s="18" t="str">
        <f>J5</f>
        <v>Final energy consumption</v>
      </c>
      <c r="L81" s="18"/>
      <c r="M81" s="18"/>
      <c r="N81" s="158"/>
      <c r="O81" s="18" t="str">
        <f>N5</f>
        <v>CO2 emissions</v>
      </c>
      <c r="P81" s="1"/>
      <c r="Q81" s="24"/>
      <c r="R81" s="24"/>
      <c r="S81" s="104"/>
    </row>
    <row r="82" spans="2:19" ht="15" customHeight="1">
      <c r="B82" s="105"/>
      <c r="C82" s="1"/>
      <c r="D82" s="1"/>
      <c r="E82" s="73"/>
      <c r="F82" s="53"/>
      <c r="G82" s="1"/>
      <c r="H82" s="58"/>
      <c r="I82" s="63"/>
      <c r="J82" s="12"/>
      <c r="K82" s="13" t="str">
        <f>K6</f>
        <v>FE (GWh/a)</v>
      </c>
      <c r="L82" s="12"/>
      <c r="M82" s="12"/>
      <c r="N82" s="96"/>
      <c r="O82" s="13" t="s">
        <v>4</v>
      </c>
      <c r="P82" s="1"/>
      <c r="Q82" s="24"/>
      <c r="R82" s="24"/>
      <c r="S82" s="104"/>
    </row>
    <row r="83" spans="2:19" ht="15" customHeight="1">
      <c r="B83" s="105"/>
      <c r="C83" s="1"/>
      <c r="D83" s="1"/>
      <c r="E83" s="73"/>
      <c r="F83" s="53"/>
      <c r="G83" s="1"/>
      <c r="H83" s="1" t="s">
        <v>60</v>
      </c>
      <c r="I83" s="65"/>
      <c r="J83" s="3"/>
      <c r="K83" s="3">
        <f>K17</f>
        <v>12018.748131399318</v>
      </c>
      <c r="L83" s="3"/>
      <c r="M83" s="3"/>
      <c r="N83" s="25"/>
      <c r="O83" s="3">
        <f>O17/1000</f>
        <v>4610.065934271502</v>
      </c>
      <c r="P83" s="1"/>
      <c r="Q83" s="24"/>
      <c r="R83" s="24"/>
      <c r="S83" s="104"/>
    </row>
    <row r="84" spans="2:19" ht="15" customHeight="1">
      <c r="B84" s="105"/>
      <c r="C84" s="1"/>
      <c r="D84" s="1"/>
      <c r="E84" s="73"/>
      <c r="F84" s="53"/>
      <c r="G84" s="1"/>
      <c r="H84" s="1" t="s">
        <v>96</v>
      </c>
      <c r="I84" s="65"/>
      <c r="J84" s="3"/>
      <c r="K84" s="3">
        <f>K44</f>
        <v>10104.892733153309</v>
      </c>
      <c r="L84" s="3"/>
      <c r="M84" s="3"/>
      <c r="N84" s="25"/>
      <c r="O84" s="3">
        <f>O44/1000</f>
        <v>3471.179705179921</v>
      </c>
      <c r="P84" s="1"/>
      <c r="Q84" s="24"/>
      <c r="R84" s="24"/>
      <c r="S84" s="104"/>
    </row>
    <row r="85" spans="2:19" ht="15" customHeight="1">
      <c r="B85" s="105"/>
      <c r="C85" s="1"/>
      <c r="D85" s="1"/>
      <c r="E85" s="73"/>
      <c r="F85" s="53"/>
      <c r="G85" s="1"/>
      <c r="H85" s="1" t="s">
        <v>61</v>
      </c>
      <c r="I85" s="65"/>
      <c r="J85" s="3"/>
      <c r="K85" s="3">
        <f>K62</f>
        <v>11268.43219870687</v>
      </c>
      <c r="L85" s="3"/>
      <c r="M85" s="3"/>
      <c r="N85" s="25"/>
      <c r="O85" s="3">
        <f>O62/1000</f>
        <v>4190.750399515545</v>
      </c>
      <c r="P85" s="1"/>
      <c r="Q85" s="24"/>
      <c r="R85" s="24"/>
      <c r="S85" s="104"/>
    </row>
    <row r="86" spans="2:19" ht="15" customHeight="1" thickBot="1">
      <c r="B86" s="105"/>
      <c r="C86" s="1"/>
      <c r="D86" s="1"/>
      <c r="E86" s="73"/>
      <c r="F86" s="53"/>
      <c r="G86" s="1"/>
      <c r="H86" s="60" t="s">
        <v>62</v>
      </c>
      <c r="I86" s="74"/>
      <c r="J86" s="61"/>
      <c r="K86" s="61">
        <f>K78</f>
        <v>13989.653344195036</v>
      </c>
      <c r="L86" s="61"/>
      <c r="M86" s="61"/>
      <c r="N86" s="62"/>
      <c r="O86" s="61">
        <f>O78/1000</f>
        <v>3587.437438852205</v>
      </c>
      <c r="P86" s="1"/>
      <c r="Q86" s="24"/>
      <c r="R86" s="24"/>
      <c r="S86" s="104"/>
    </row>
    <row r="87" spans="2:19" ht="15" customHeight="1">
      <c r="B87" s="105"/>
      <c r="C87" s="1"/>
      <c r="D87" s="1"/>
      <c r="E87" s="73"/>
      <c r="F87" s="53"/>
      <c r="G87" s="1"/>
      <c r="H87" s="4" t="s">
        <v>63</v>
      </c>
      <c r="I87" s="65"/>
      <c r="J87" s="3"/>
      <c r="K87" s="148">
        <f>SUM(K83:K86)</f>
        <v>47381.72640745453</v>
      </c>
      <c r="L87" s="3"/>
      <c r="M87" s="3"/>
      <c r="N87" s="25"/>
      <c r="O87" s="148">
        <f>SUM(O83:O86)</f>
        <v>15859.433477819173</v>
      </c>
      <c r="P87" s="1"/>
      <c r="Q87" s="24"/>
      <c r="R87" s="24"/>
      <c r="S87" s="104"/>
    </row>
    <row r="88" spans="2:19" ht="15" customHeight="1" thickBot="1">
      <c r="B88" s="114"/>
      <c r="C88" s="60"/>
      <c r="D88" s="60"/>
      <c r="E88" s="164"/>
      <c r="F88" s="165"/>
      <c r="G88" s="60"/>
      <c r="H88" s="60"/>
      <c r="I88" s="74"/>
      <c r="J88" s="61"/>
      <c r="K88" s="61"/>
      <c r="L88" s="61"/>
      <c r="M88" s="61"/>
      <c r="N88" s="62"/>
      <c r="O88" s="61"/>
      <c r="P88" s="60"/>
      <c r="Q88" s="129"/>
      <c r="R88" s="129"/>
      <c r="S88" s="108"/>
    </row>
    <row r="93" spans="3:6" ht="12.75">
      <c r="C93" s="255" t="s">
        <v>165</v>
      </c>
      <c r="D93" s="253" t="s">
        <v>163</v>
      </c>
      <c r="E93" s="254"/>
      <c r="F93" s="253" t="s">
        <v>164</v>
      </c>
    </row>
    <row r="94" spans="3:18" ht="12.75">
      <c r="C94" s="252" t="str">
        <f>CONCATENATE("House: ",C7)</f>
        <v>House: District heating</v>
      </c>
      <c r="D94" s="143">
        <f>K7</f>
        <v>302.7225255972696</v>
      </c>
      <c r="E94" s="143">
        <f aca="true" t="shared" si="16" ref="E94:E100">L7</f>
        <v>282.2</v>
      </c>
      <c r="F94" s="143">
        <f aca="true" t="shared" si="17" ref="F94:F100">O7/1000</f>
        <v>100.80660102389079</v>
      </c>
      <c r="G94" s="142"/>
      <c r="I94" s="142"/>
      <c r="N94" s="142"/>
      <c r="P94" s="142"/>
      <c r="Q94" s="142"/>
      <c r="R94" s="142"/>
    </row>
    <row r="95" spans="3:18" ht="12.75">
      <c r="C95" s="252" t="str">
        <f aca="true" t="shared" si="18" ref="C95:C100">CONCATENATE("House: ",C8)</f>
        <v>House: Natural gas</v>
      </c>
      <c r="D95" s="143">
        <f aca="true" t="shared" si="19" ref="D95:D100">K8</f>
        <v>4353.058873720138</v>
      </c>
      <c r="E95" s="143">
        <f t="shared" si="16"/>
        <v>239.64</v>
      </c>
      <c r="F95" s="143">
        <f t="shared" si="17"/>
        <v>1174.3682229522187</v>
      </c>
      <c r="G95" s="142"/>
      <c r="I95" s="142"/>
      <c r="N95" s="142"/>
      <c r="P95" s="142"/>
      <c r="Q95" s="142"/>
      <c r="R95" s="142"/>
    </row>
    <row r="96" spans="3:18" ht="12.75">
      <c r="C96" s="252" t="str">
        <f t="shared" si="18"/>
        <v>House: Liquid natural gas (LNG)</v>
      </c>
      <c r="D96" s="143">
        <f t="shared" si="19"/>
        <v>480.77116894197957</v>
      </c>
      <c r="E96" s="143">
        <f t="shared" si="16"/>
        <v>301.92</v>
      </c>
      <c r="F96" s="143">
        <f t="shared" si="17"/>
        <v>156.1833219424915</v>
      </c>
      <c r="G96" s="142"/>
      <c r="I96" s="142"/>
      <c r="N96" s="142"/>
      <c r="P96" s="142"/>
      <c r="Q96" s="142"/>
      <c r="R96" s="142"/>
    </row>
    <row r="97" spans="3:18" ht="12.75">
      <c r="C97" s="252" t="str">
        <f t="shared" si="18"/>
        <v>House: Fuel oil</v>
      </c>
      <c r="D97" s="143">
        <f t="shared" si="19"/>
        <v>3399.040341296928</v>
      </c>
      <c r="E97" s="143">
        <f t="shared" si="16"/>
        <v>351.39</v>
      </c>
      <c r="F97" s="143">
        <f t="shared" si="17"/>
        <v>1258.018820717406</v>
      </c>
      <c r="G97" s="142"/>
      <c r="I97" s="142"/>
      <c r="N97" s="142"/>
      <c r="P97" s="142"/>
      <c r="Q97" s="142"/>
      <c r="R97" s="142"/>
    </row>
    <row r="98" spans="3:18" ht="12.75">
      <c r="C98" s="252" t="str">
        <f t="shared" si="18"/>
        <v>House: Coal</v>
      </c>
      <c r="D98" s="143">
        <f t="shared" si="19"/>
        <v>88.76825938566553</v>
      </c>
      <c r="E98" s="143">
        <f t="shared" si="16"/>
        <v>532.25</v>
      </c>
      <c r="F98" s="143">
        <f t="shared" si="17"/>
        <v>47.34987723890785</v>
      </c>
      <c r="G98" s="142"/>
      <c r="I98" s="142"/>
      <c r="N98" s="142"/>
      <c r="P98" s="142"/>
      <c r="Q98" s="142"/>
      <c r="R98" s="142"/>
    </row>
    <row r="99" spans="3:18" ht="12.75">
      <c r="C99" s="252" t="str">
        <f t="shared" si="18"/>
        <v>House: Wood</v>
      </c>
      <c r="D99" s="143">
        <f t="shared" si="19"/>
        <v>334.5880546075086</v>
      </c>
      <c r="E99" s="143">
        <f t="shared" si="16"/>
        <v>27.77</v>
      </c>
      <c r="F99" s="143">
        <f t="shared" si="17"/>
        <v>9.646173614334472</v>
      </c>
      <c r="G99" s="142"/>
      <c r="I99" s="142"/>
      <c r="N99" s="142"/>
      <c r="P99" s="142"/>
      <c r="Q99" s="142"/>
      <c r="R99" s="142"/>
    </row>
    <row r="100" spans="3:18" ht="12.75">
      <c r="C100" s="252" t="str">
        <f t="shared" si="18"/>
        <v>House: Electric heating</v>
      </c>
      <c r="D100" s="143">
        <f t="shared" si="19"/>
        <v>740.4689078498294</v>
      </c>
      <c r="E100" s="143">
        <f t="shared" si="16"/>
        <v>586.26</v>
      </c>
      <c r="F100" s="143">
        <f t="shared" si="17"/>
        <v>451.0122070822526</v>
      </c>
      <c r="G100" s="142"/>
      <c r="I100" s="142"/>
      <c r="N100" s="142"/>
      <c r="P100" s="142"/>
      <c r="Q100" s="142"/>
      <c r="R100" s="142"/>
    </row>
    <row r="101" spans="3:18" ht="12.75">
      <c r="C101" s="252" t="str">
        <f>CONCATENATE("Comm: ",C21)</f>
        <v>Comm: Construction</v>
      </c>
      <c r="D101" s="143">
        <f>K21</f>
        <v>83.3967</v>
      </c>
      <c r="E101" s="143">
        <f aca="true" t="shared" si="20" ref="E101:E110">L21</f>
        <v>218.19</v>
      </c>
      <c r="F101" s="143">
        <f aca="true" t="shared" si="21" ref="F101:F110">O21/1000</f>
        <v>19.585714995</v>
      </c>
      <c r="G101" s="142"/>
      <c r="I101" s="142"/>
      <c r="N101" s="142"/>
      <c r="P101" s="142"/>
      <c r="Q101" s="142"/>
      <c r="R101" s="142"/>
    </row>
    <row r="102" spans="3:18" ht="12.75">
      <c r="C102" s="252" t="str">
        <f aca="true" t="shared" si="22" ref="C102:C110">CONCATENATE("Comm: ",C22)</f>
        <v>Comm: Office</v>
      </c>
      <c r="D102" s="143">
        <f aca="true" t="shared" si="23" ref="D102:D110">K22</f>
        <v>3784.268</v>
      </c>
      <c r="E102" s="143">
        <f t="shared" si="20"/>
        <v>218.19</v>
      </c>
      <c r="F102" s="143">
        <f t="shared" si="21"/>
        <v>888.7353397999999</v>
      </c>
      <c r="G102" s="142"/>
      <c r="I102" s="142"/>
      <c r="N102" s="142"/>
      <c r="P102" s="142"/>
      <c r="Q102" s="142"/>
      <c r="R102" s="142"/>
    </row>
    <row r="103" spans="3:18" ht="12.75">
      <c r="C103" s="252" t="str">
        <f t="shared" si="22"/>
        <v>Comm: Manufacturing</v>
      </c>
      <c r="D103" s="143">
        <f t="shared" si="23"/>
        <v>836.248</v>
      </c>
      <c r="E103" s="143">
        <f t="shared" si="20"/>
        <v>218.19</v>
      </c>
      <c r="F103" s="143">
        <f t="shared" si="21"/>
        <v>196.3928428</v>
      </c>
      <c r="G103" s="142"/>
      <c r="I103" s="142"/>
      <c r="N103" s="142"/>
      <c r="P103" s="142"/>
      <c r="Q103" s="142"/>
      <c r="R103" s="142"/>
    </row>
    <row r="104" spans="3:18" ht="12.75">
      <c r="C104" s="252" t="str">
        <f t="shared" si="22"/>
        <v>Comm: Trade</v>
      </c>
      <c r="D104" s="143">
        <f t="shared" si="23"/>
        <v>471.61705080619726</v>
      </c>
      <c r="E104" s="143">
        <f t="shared" si="20"/>
        <v>218.19</v>
      </c>
      <c r="F104" s="143">
        <f t="shared" si="21"/>
        <v>110.75926438183542</v>
      </c>
      <c r="G104" s="142"/>
      <c r="I104" s="142"/>
      <c r="N104" s="142"/>
      <c r="P104" s="142"/>
      <c r="Q104" s="142"/>
      <c r="R104" s="142"/>
    </row>
    <row r="105" spans="3:18" ht="12.75">
      <c r="C105" s="252" t="str">
        <f t="shared" si="22"/>
        <v>Comm: Hotels</v>
      </c>
      <c r="D105" s="143">
        <f t="shared" si="23"/>
        <v>549.8014900551498</v>
      </c>
      <c r="E105" s="143">
        <f t="shared" si="20"/>
        <v>218.19</v>
      </c>
      <c r="F105" s="143">
        <f t="shared" si="21"/>
        <v>129.12087993945192</v>
      </c>
      <c r="G105" s="142"/>
      <c r="I105" s="142"/>
      <c r="N105" s="142"/>
      <c r="P105" s="142"/>
      <c r="Q105" s="142"/>
      <c r="R105" s="142"/>
    </row>
    <row r="106" spans="3:18" ht="12.75">
      <c r="C106" s="252" t="str">
        <f t="shared" si="22"/>
        <v>Comm: Food industry</v>
      </c>
      <c r="D106" s="143">
        <f t="shared" si="23"/>
        <v>22.498778149177806</v>
      </c>
      <c r="E106" s="143">
        <f t="shared" si="20"/>
        <v>218.19</v>
      </c>
      <c r="F106" s="143">
        <f t="shared" si="21"/>
        <v>5.283838048334407</v>
      </c>
      <c r="G106" s="142"/>
      <c r="I106" s="142"/>
      <c r="N106" s="142"/>
      <c r="P106" s="142"/>
      <c r="Q106" s="142"/>
      <c r="R106" s="142"/>
    </row>
    <row r="107" spans="3:18" ht="12.75">
      <c r="C107" s="252" t="str">
        <f t="shared" si="22"/>
        <v>Comm: Agriculture</v>
      </c>
      <c r="D107" s="143">
        <f t="shared" si="23"/>
        <v>27.26</v>
      </c>
      <c r="E107" s="143">
        <f t="shared" si="20"/>
        <v>218.19</v>
      </c>
      <c r="F107" s="143">
        <f t="shared" si="21"/>
        <v>6.402011000000001</v>
      </c>
      <c r="G107" s="142"/>
      <c r="I107" s="142"/>
      <c r="N107" s="142"/>
      <c r="P107" s="142"/>
      <c r="Q107" s="142"/>
      <c r="R107" s="142"/>
    </row>
    <row r="108" spans="3:18" ht="12.75">
      <c r="C108" s="252" t="str">
        <f t="shared" si="22"/>
        <v>Comm: Hospitals</v>
      </c>
      <c r="D108" s="143">
        <f t="shared" si="23"/>
        <v>376.90144710457275</v>
      </c>
      <c r="E108" s="143">
        <f t="shared" si="20"/>
        <v>218.19</v>
      </c>
      <c r="F108" s="143">
        <f t="shared" si="21"/>
        <v>88.5153048525089</v>
      </c>
      <c r="G108" s="142"/>
      <c r="I108" s="142"/>
      <c r="N108" s="142"/>
      <c r="P108" s="142"/>
      <c r="Q108" s="142"/>
      <c r="R108" s="142"/>
    </row>
    <row r="109" spans="3:18" ht="12.75">
      <c r="C109" s="252" t="str">
        <f t="shared" si="22"/>
        <v>Comm: Schools</v>
      </c>
      <c r="D109" s="143">
        <f t="shared" si="23"/>
        <v>684.6667707146165</v>
      </c>
      <c r="E109" s="143">
        <f t="shared" si="20"/>
        <v>218.19</v>
      </c>
      <c r="F109" s="143">
        <f t="shared" si="21"/>
        <v>160.79399110232768</v>
      </c>
      <c r="G109" s="142"/>
      <c r="I109" s="142"/>
      <c r="N109" s="142"/>
      <c r="P109" s="142"/>
      <c r="Q109" s="142"/>
      <c r="R109" s="142"/>
    </row>
    <row r="110" spans="3:18" ht="12.75">
      <c r="C110" s="252" t="str">
        <f t="shared" si="22"/>
        <v>Comm: Pools</v>
      </c>
      <c r="D110" s="143">
        <f t="shared" si="23"/>
        <v>334.1663935049043</v>
      </c>
      <c r="E110" s="143">
        <f t="shared" si="20"/>
        <v>218.19</v>
      </c>
      <c r="F110" s="143">
        <f t="shared" si="21"/>
        <v>78.47897751462678</v>
      </c>
      <c r="G110" s="142"/>
      <c r="I110" s="142"/>
      <c r="N110" s="142"/>
      <c r="P110" s="142"/>
      <c r="Q110" s="142"/>
      <c r="R110" s="142"/>
    </row>
    <row r="111" spans="3:18" ht="12.75">
      <c r="C111" s="252" t="str">
        <f>CONCATENATE("Industry: ",C48)</f>
        <v>Industry: Mining</v>
      </c>
      <c r="D111" s="143">
        <f>K48</f>
        <v>129.96800519447615</v>
      </c>
      <c r="E111" s="143">
        <f aca="true" t="shared" si="24" ref="E111:E124">L48</f>
        <v>394.3217994097449</v>
      </c>
      <c r="F111" s="143">
        <f aca="true" t="shared" si="25" ref="F111:F124">O48/1000</f>
        <v>53.23528675632129</v>
      </c>
      <c r="G111" s="142"/>
      <c r="I111" s="142"/>
      <c r="N111" s="142"/>
      <c r="P111" s="142"/>
      <c r="Q111" s="142"/>
      <c r="R111" s="142"/>
    </row>
    <row r="112" spans="3:18" ht="12.75">
      <c r="C112" s="252" t="str">
        <f aca="true" t="shared" si="26" ref="C112:C124">CONCATENATE("Industry: ",C49)</f>
        <v>Industry: Food</v>
      </c>
      <c r="D112" s="143">
        <f aca="true" t="shared" si="27" ref="D112:D124">K49</f>
        <v>443.5851174704117</v>
      </c>
      <c r="E112" s="143">
        <f t="shared" si="24"/>
        <v>350.13095528349845</v>
      </c>
      <c r="F112" s="143">
        <f t="shared" si="25"/>
        <v>162.401048049183</v>
      </c>
      <c r="G112" s="142"/>
      <c r="I112" s="142"/>
      <c r="N112" s="142"/>
      <c r="P112" s="142"/>
      <c r="Q112" s="142"/>
      <c r="R112" s="142"/>
    </row>
    <row r="113" spans="3:18" ht="12.75">
      <c r="C113" s="252" t="str">
        <f t="shared" si="26"/>
        <v>Industry: Paper</v>
      </c>
      <c r="D113" s="143">
        <f t="shared" si="27"/>
        <v>611.7344084138487</v>
      </c>
      <c r="E113" s="143">
        <f t="shared" si="24"/>
        <v>326.43343674593433</v>
      </c>
      <c r="F113" s="143">
        <f t="shared" si="25"/>
        <v>207.48931091094545</v>
      </c>
      <c r="G113" s="142"/>
      <c r="I113" s="142"/>
      <c r="N113" s="142"/>
      <c r="P113" s="142"/>
      <c r="Q113" s="142"/>
      <c r="R113" s="142"/>
    </row>
    <row r="114" spans="3:18" ht="12.75">
      <c r="C114" s="252" t="str">
        <f t="shared" si="26"/>
        <v>Industry: Basic chemistry</v>
      </c>
      <c r="D114" s="143">
        <f t="shared" si="27"/>
        <v>1433.9672307692308</v>
      </c>
      <c r="E114" s="143">
        <f t="shared" si="24"/>
        <v>342.9770811413581</v>
      </c>
      <c r="F114" s="143">
        <f t="shared" si="25"/>
        <v>511.40064637488666</v>
      </c>
      <c r="G114" s="142"/>
      <c r="I114" s="142"/>
      <c r="N114" s="142"/>
      <c r="P114" s="142"/>
      <c r="Q114" s="142"/>
      <c r="R114" s="142"/>
    </row>
    <row r="115" spans="3:18" ht="12.75">
      <c r="C115" s="252" t="str">
        <f t="shared" si="26"/>
        <v>Industry: Other chem.</v>
      </c>
      <c r="D115" s="143">
        <f t="shared" si="27"/>
        <v>91.29993469785573</v>
      </c>
      <c r="E115" s="143">
        <f t="shared" si="24"/>
        <v>331.7773189066673</v>
      </c>
      <c r="F115" s="143">
        <f t="shared" si="25"/>
        <v>31.71913110162962</v>
      </c>
      <c r="G115" s="142"/>
      <c r="I115" s="142"/>
      <c r="N115" s="142"/>
      <c r="P115" s="142"/>
      <c r="Q115" s="142"/>
      <c r="R115" s="142"/>
    </row>
    <row r="116" spans="3:18" ht="12.75">
      <c r="C116" s="252" t="str">
        <f t="shared" si="26"/>
        <v>Industry: Rubber</v>
      </c>
      <c r="D116" s="143">
        <f t="shared" si="27"/>
        <v>32.83405782497104</v>
      </c>
      <c r="E116" s="143">
        <f t="shared" si="24"/>
        <v>436.3996391689047</v>
      </c>
      <c r="F116" s="143">
        <f t="shared" si="25"/>
        <v>14.848002403281972</v>
      </c>
      <c r="G116" s="142"/>
      <c r="I116" s="142"/>
      <c r="N116" s="142"/>
      <c r="P116" s="142"/>
      <c r="Q116" s="142"/>
      <c r="R116" s="142"/>
    </row>
    <row r="117" spans="3:18" ht="12.75">
      <c r="C117" s="252" t="str">
        <f t="shared" si="26"/>
        <v>Industry: Glass</v>
      </c>
      <c r="D117" s="143">
        <f t="shared" si="27"/>
        <v>508.7214766248574</v>
      </c>
      <c r="E117" s="143">
        <f t="shared" si="24"/>
        <v>301.14629025296415</v>
      </c>
      <c r="F117" s="143">
        <f t="shared" si="25"/>
        <v>161.80328186842138</v>
      </c>
      <c r="G117" s="142"/>
      <c r="I117" s="142"/>
      <c r="N117" s="142"/>
      <c r="P117" s="142"/>
      <c r="Q117" s="142"/>
      <c r="R117" s="142"/>
    </row>
    <row r="118" spans="3:18" ht="12.75">
      <c r="C118" s="252" t="str">
        <f t="shared" si="26"/>
        <v>Industry: Stones</v>
      </c>
      <c r="D118" s="143">
        <f t="shared" si="27"/>
        <v>1144.4920921071716</v>
      </c>
      <c r="E118" s="143">
        <f t="shared" si="24"/>
        <v>313.8821130501933</v>
      </c>
      <c r="F118" s="143">
        <f t="shared" si="25"/>
        <v>369.3065725883861</v>
      </c>
      <c r="G118" s="142"/>
      <c r="I118" s="142"/>
      <c r="N118" s="142"/>
      <c r="P118" s="142"/>
      <c r="Q118" s="142"/>
      <c r="R118" s="142"/>
    </row>
    <row r="119" spans="3:18" ht="12.75">
      <c r="C119" s="252" t="str">
        <f t="shared" si="26"/>
        <v>Industry: Iron &amp; steel</v>
      </c>
      <c r="D119" s="143">
        <f t="shared" si="27"/>
        <v>3062.965304983845</v>
      </c>
      <c r="E119" s="143">
        <f t="shared" si="24"/>
        <v>358.490644599174</v>
      </c>
      <c r="F119" s="143">
        <f t="shared" si="25"/>
        <v>1126.5131808882147</v>
      </c>
      <c r="G119" s="142"/>
      <c r="I119" s="142"/>
      <c r="N119" s="142"/>
      <c r="P119" s="142"/>
      <c r="Q119" s="142"/>
      <c r="R119" s="142"/>
    </row>
    <row r="120" spans="3:18" ht="12.75">
      <c r="C120" s="252" t="str">
        <f t="shared" si="26"/>
        <v>Industry: Non-ferrous metal</v>
      </c>
      <c r="D120" s="143">
        <f t="shared" si="27"/>
        <v>773.2215960344612</v>
      </c>
      <c r="E120" s="143">
        <f t="shared" si="24"/>
        <v>439.42944828033296</v>
      </c>
      <c r="F120" s="143">
        <f t="shared" si="25"/>
        <v>351.3609044474393</v>
      </c>
      <c r="G120" s="142"/>
      <c r="I120" s="142"/>
      <c r="N120" s="142"/>
      <c r="P120" s="142"/>
      <c r="Q120" s="142"/>
      <c r="R120" s="142"/>
    </row>
    <row r="121" spans="3:18" ht="12.75">
      <c r="C121" s="252" t="str">
        <f t="shared" si="26"/>
        <v>Industry: Metal processing</v>
      </c>
      <c r="D121" s="143">
        <f t="shared" si="27"/>
        <v>646.4642258171797</v>
      </c>
      <c r="E121" s="143">
        <f t="shared" si="24"/>
        <v>390.02009316071883</v>
      </c>
      <c r="F121" s="143">
        <f t="shared" si="25"/>
        <v>262.636679731304</v>
      </c>
      <c r="G121" s="142"/>
      <c r="I121" s="142"/>
      <c r="N121" s="142"/>
      <c r="P121" s="142"/>
      <c r="Q121" s="142"/>
      <c r="R121" s="142"/>
    </row>
    <row r="122" spans="3:18" ht="12.75">
      <c r="C122" s="252" t="str">
        <f t="shared" si="26"/>
        <v>Industry: Machine</v>
      </c>
      <c r="D122" s="143">
        <f t="shared" si="27"/>
        <v>166.17443093168393</v>
      </c>
      <c r="E122" s="143">
        <f t="shared" si="24"/>
        <v>403.83828048955706</v>
      </c>
      <c r="F122" s="143">
        <f t="shared" si="25"/>
        <v>69.87910781038448</v>
      </c>
      <c r="G122" s="142"/>
      <c r="I122" s="142"/>
      <c r="N122" s="142"/>
      <c r="P122" s="142"/>
      <c r="Q122" s="142"/>
      <c r="R122" s="142"/>
    </row>
    <row r="123" spans="3:18" ht="12.75">
      <c r="C123" s="252" t="str">
        <f t="shared" si="26"/>
        <v>Industry: Vehicle</v>
      </c>
      <c r="D123" s="143">
        <f t="shared" si="27"/>
        <v>1060.1727629781421</v>
      </c>
      <c r="E123" s="143">
        <f t="shared" si="24"/>
        <v>408.3268486679848</v>
      </c>
      <c r="F123" s="143">
        <f t="shared" si="25"/>
        <v>449.56558197651987</v>
      </c>
      <c r="G123" s="142"/>
      <c r="I123" s="142"/>
      <c r="N123" s="142"/>
      <c r="P123" s="142"/>
      <c r="Q123" s="142"/>
      <c r="R123" s="142"/>
    </row>
    <row r="124" spans="3:18" ht="12.75">
      <c r="C124" s="252" t="str">
        <f t="shared" si="26"/>
        <v>Industry: Other</v>
      </c>
      <c r="D124" s="143">
        <f t="shared" si="27"/>
        <v>1162.8315548587354</v>
      </c>
      <c r="E124" s="143">
        <f t="shared" si="24"/>
        <v>346.5321838529659</v>
      </c>
      <c r="F124" s="143">
        <f t="shared" si="25"/>
        <v>418.59166460862747</v>
      </c>
      <c r="G124" s="142"/>
      <c r="I124" s="142"/>
      <c r="N124" s="142"/>
      <c r="P124" s="142"/>
      <c r="Q124" s="142"/>
      <c r="R124" s="142"/>
    </row>
    <row r="125" spans="3:18" ht="12.75">
      <c r="C125" s="252" t="str">
        <f>CONCATENATE("Transport: ",C67)</f>
        <v>Transport: Ship</v>
      </c>
      <c r="D125" s="143">
        <f aca="true" t="shared" si="28" ref="D125:E128">K67</f>
        <v>64.44087349676916</v>
      </c>
      <c r="E125" s="143">
        <f t="shared" si="28"/>
        <v>0</v>
      </c>
      <c r="F125" s="143">
        <f>O67/1000</f>
        <v>37.4167094353482</v>
      </c>
      <c r="G125" s="142"/>
      <c r="I125" s="142"/>
      <c r="N125" s="142"/>
      <c r="P125" s="142"/>
      <c r="Q125" s="142"/>
      <c r="R125" s="142"/>
    </row>
    <row r="126" spans="3:18" ht="12.75">
      <c r="C126" s="252" t="str">
        <f>CONCATENATE("Transport: ",C68)</f>
        <v>Transport: Rails</v>
      </c>
      <c r="D126" s="143">
        <f t="shared" si="28"/>
        <v>200.22699979353274</v>
      </c>
      <c r="E126" s="143">
        <f t="shared" si="28"/>
        <v>0</v>
      </c>
      <c r="F126" s="143">
        <f>O68/1000</f>
        <v>58.67849694197549</v>
      </c>
      <c r="G126" s="142"/>
      <c r="I126" s="142"/>
      <c r="N126" s="142"/>
      <c r="P126" s="142"/>
      <c r="Q126" s="142"/>
      <c r="R126" s="142"/>
    </row>
    <row r="127" spans="3:18" ht="12.75">
      <c r="C127" s="252" t="str">
        <f>CONCATENATE("Transport: ",C69)</f>
        <v>Transport: Airline</v>
      </c>
      <c r="D127" s="143">
        <f t="shared" si="28"/>
        <v>387.1055329341633</v>
      </c>
      <c r="E127" s="143">
        <f t="shared" si="28"/>
        <v>0</v>
      </c>
      <c r="F127" s="143">
        <f>O69/1000</f>
        <v>40.53677082495848</v>
      </c>
      <c r="G127" s="142"/>
      <c r="I127" s="142"/>
      <c r="N127" s="142"/>
      <c r="P127" s="142"/>
      <c r="Q127" s="142"/>
      <c r="R127" s="142"/>
    </row>
    <row r="128" spans="3:18" ht="12.75">
      <c r="C128" s="252" t="str">
        <f>CONCATENATE("Transport: ",C70)</f>
        <v>Transport: Trucks</v>
      </c>
      <c r="D128" s="143">
        <f t="shared" si="28"/>
        <v>3241.375936887489</v>
      </c>
      <c r="E128" s="143">
        <f t="shared" si="28"/>
        <v>0</v>
      </c>
      <c r="F128" s="143">
        <f>O70/1000</f>
        <v>807.0269362878214</v>
      </c>
      <c r="G128" s="142"/>
      <c r="I128" s="142"/>
      <c r="N128" s="142"/>
      <c r="P128" s="142"/>
      <c r="Q128" s="142"/>
      <c r="R128" s="142"/>
    </row>
    <row r="129" spans="3:18" ht="12.75">
      <c r="C129" s="252" t="str">
        <f aca="true" t="shared" si="29" ref="C129:C134">CONCATENATE("Transport: ",C72)</f>
        <v>Transport: Walk</v>
      </c>
      <c r="D129" s="143">
        <f aca="true" t="shared" si="30" ref="D129:D134">K72</f>
        <v>0</v>
      </c>
      <c r="E129" s="143">
        <f aca="true" t="shared" si="31" ref="E129:E134">L72</f>
        <v>0</v>
      </c>
      <c r="F129" s="143">
        <f aca="true" t="shared" si="32" ref="F129:F134">O72/1000</f>
        <v>0</v>
      </c>
      <c r="G129" s="142"/>
      <c r="I129" s="142"/>
      <c r="N129" s="142"/>
      <c r="P129" s="142"/>
      <c r="Q129" s="142"/>
      <c r="R129" s="142"/>
    </row>
    <row r="130" spans="3:18" ht="12.75">
      <c r="C130" s="252" t="str">
        <f t="shared" si="29"/>
        <v>Transport: Bicycle</v>
      </c>
      <c r="D130" s="143">
        <f t="shared" si="30"/>
        <v>0</v>
      </c>
      <c r="E130" s="143">
        <f t="shared" si="31"/>
        <v>0</v>
      </c>
      <c r="F130" s="143">
        <f t="shared" si="32"/>
        <v>0</v>
      </c>
      <c r="G130" s="142"/>
      <c r="I130" s="142"/>
      <c r="N130" s="142"/>
      <c r="P130" s="142"/>
      <c r="Q130" s="142"/>
      <c r="R130" s="142"/>
    </row>
    <row r="131" spans="3:18" ht="12.75">
      <c r="C131" s="252" t="str">
        <f t="shared" si="29"/>
        <v>Transport: Bus</v>
      </c>
      <c r="D131" s="143">
        <f t="shared" si="30"/>
        <v>205.2902112825646</v>
      </c>
      <c r="E131" s="143">
        <f t="shared" si="31"/>
        <v>0</v>
      </c>
      <c r="F131" s="143">
        <f t="shared" si="32"/>
        <v>99.62687924347505</v>
      </c>
      <c r="G131" s="142"/>
      <c r="I131" s="142"/>
      <c r="N131" s="142"/>
      <c r="P131" s="142"/>
      <c r="Q131" s="142"/>
      <c r="R131" s="142"/>
    </row>
    <row r="132" spans="3:18" ht="12.75">
      <c r="C132" s="252" t="str">
        <f t="shared" si="29"/>
        <v>Transport: Train</v>
      </c>
      <c r="D132" s="143">
        <f t="shared" si="30"/>
        <v>514.6064040670566</v>
      </c>
      <c r="E132" s="143">
        <f t="shared" si="31"/>
        <v>0</v>
      </c>
      <c r="F132" s="143">
        <f t="shared" si="32"/>
        <v>98.16536023256832</v>
      </c>
      <c r="G132" s="142"/>
      <c r="I132" s="142"/>
      <c r="N132" s="142"/>
      <c r="P132" s="142"/>
      <c r="Q132" s="142"/>
      <c r="R132" s="142"/>
    </row>
    <row r="133" spans="3:18" ht="12.75">
      <c r="C133" s="252" t="str">
        <f t="shared" si="29"/>
        <v>Transport: Airline</v>
      </c>
      <c r="D133" s="143">
        <f t="shared" si="30"/>
        <v>1491.806221450206</v>
      </c>
      <c r="E133" s="143">
        <f t="shared" si="31"/>
        <v>0</v>
      </c>
      <c r="F133" s="143">
        <f t="shared" si="32"/>
        <v>339.9672180880581</v>
      </c>
      <c r="G133" s="142"/>
      <c r="I133" s="142"/>
      <c r="N133" s="142"/>
      <c r="P133" s="142"/>
      <c r="Q133" s="142"/>
      <c r="R133" s="142"/>
    </row>
    <row r="134" spans="3:18" ht="12.75">
      <c r="C134" s="252" t="str">
        <f t="shared" si="29"/>
        <v>Transport: Car</v>
      </c>
      <c r="D134" s="143">
        <f t="shared" si="30"/>
        <v>7884.801164283254</v>
      </c>
      <c r="E134" s="143">
        <f t="shared" si="31"/>
        <v>0</v>
      </c>
      <c r="F134" s="143">
        <f t="shared" si="32"/>
        <v>2106.0190677980004</v>
      </c>
      <c r="G134" s="142"/>
      <c r="I134" s="142"/>
      <c r="N134" s="142"/>
      <c r="P134" s="142"/>
      <c r="Q134" s="142"/>
      <c r="R134" s="142"/>
    </row>
  </sheetData>
  <sheetProtection/>
  <mergeCells count="3">
    <mergeCell ref="J5:K5"/>
    <mergeCell ref="L5:M5"/>
    <mergeCell ref="N5:O5"/>
  </mergeCells>
  <printOptions/>
  <pageMargins left="0.787401575" right="0.787401575" top="0.984251969" bottom="0.984251969" header="0.4921259845" footer="0.4921259845"/>
  <pageSetup fitToHeight="20" horizontalDpi="600" verticalDpi="600" orientation="landscape" paperSize="9" scale="66" r:id="rId3"/>
  <rowBreaks count="1" manualBreakCount="1">
    <brk id="45" min="2" max="14" man="1"/>
  </rowBreaks>
  <ignoredErrors>
    <ignoredError sqref="K14" formula="1"/>
  </ignoredErrors>
  <legacyDrawing r:id="rId2"/>
</worksheet>
</file>

<file path=xl/worksheets/sheet5.xml><?xml version="1.0" encoding="utf-8"?>
<worksheet xmlns="http://schemas.openxmlformats.org/spreadsheetml/2006/main" xmlns:r="http://schemas.openxmlformats.org/officeDocument/2006/relationships">
  <sheetPr>
    <tabColor indexed="27"/>
  </sheetPr>
  <dimension ref="B2:Q97"/>
  <sheetViews>
    <sheetView zoomScalePageLayoutView="0" workbookViewId="0" topLeftCell="A4">
      <selection activeCell="H18" sqref="H18"/>
    </sheetView>
  </sheetViews>
  <sheetFormatPr defaultColWidth="11.421875" defaultRowHeight="12.75"/>
  <cols>
    <col min="1" max="1" width="2.8515625" style="99" customWidth="1"/>
    <col min="2" max="2" width="1.421875" style="99" customWidth="1"/>
    <col min="3" max="3" width="35.57421875" style="99" customWidth="1"/>
    <col min="4" max="4" width="17.28125" style="99" customWidth="1"/>
    <col min="5" max="5" width="12.7109375" style="100" bestFit="1" customWidth="1"/>
    <col min="6" max="6" width="18.00390625" style="101" customWidth="1"/>
    <col min="7" max="7" width="13.8515625" style="100" customWidth="1"/>
    <col min="8" max="8" width="11.8515625" style="100" customWidth="1"/>
    <col min="9" max="15" width="11.8515625" style="99" customWidth="1"/>
    <col min="16" max="16" width="1.421875" style="99" customWidth="1"/>
    <col min="17" max="17" width="2.8515625" style="99" customWidth="1"/>
    <col min="18" max="16384" width="11.421875" style="99" customWidth="1"/>
  </cols>
  <sheetData>
    <row r="1" ht="15" customHeight="1"/>
    <row r="2" spans="2:16" ht="7.5" customHeight="1">
      <c r="B2" s="117"/>
      <c r="C2" s="118"/>
      <c r="D2" s="118"/>
      <c r="E2" s="42"/>
      <c r="F2" s="43"/>
      <c r="G2" s="42"/>
      <c r="H2" s="42"/>
      <c r="I2" s="118"/>
      <c r="J2" s="118"/>
      <c r="K2" s="118"/>
      <c r="L2" s="118"/>
      <c r="M2" s="118"/>
      <c r="N2" s="118"/>
      <c r="O2" s="118"/>
      <c r="P2" s="119"/>
    </row>
    <row r="3" spans="2:17" s="98" customFormat="1" ht="18.75">
      <c r="B3" s="115"/>
      <c r="C3" s="28" t="s">
        <v>5</v>
      </c>
      <c r="D3" s="28"/>
      <c r="E3" s="71"/>
      <c r="F3" s="75"/>
      <c r="G3" s="29"/>
      <c r="H3" s="29"/>
      <c r="I3" s="64"/>
      <c r="J3" s="30"/>
      <c r="K3" s="30"/>
      <c r="L3" s="30"/>
      <c r="M3" s="30"/>
      <c r="N3" s="30"/>
      <c r="O3" s="16" t="s">
        <v>93</v>
      </c>
      <c r="P3" s="116"/>
      <c r="Q3" s="97"/>
    </row>
    <row r="4" spans="2:16" ht="15" customHeight="1">
      <c r="B4" s="105"/>
      <c r="C4" s="1" t="s">
        <v>92</v>
      </c>
      <c r="D4" s="1"/>
      <c r="E4" s="38"/>
      <c r="F4" s="39"/>
      <c r="G4" s="38"/>
      <c r="H4" s="38"/>
      <c r="I4" s="1"/>
      <c r="J4" s="1"/>
      <c r="K4" s="1"/>
      <c r="L4" s="1"/>
      <c r="M4" s="1"/>
      <c r="N4" s="1"/>
      <c r="O4" s="1"/>
      <c r="P4" s="104"/>
    </row>
    <row r="5" spans="2:16" ht="15" customHeight="1">
      <c r="B5" s="105"/>
      <c r="C5" s="1"/>
      <c r="D5" s="1"/>
      <c r="E5" s="38"/>
      <c r="F5" s="39"/>
      <c r="G5" s="38"/>
      <c r="H5" s="38"/>
      <c r="I5" s="1"/>
      <c r="J5" s="1"/>
      <c r="K5" s="1"/>
      <c r="L5" s="1"/>
      <c r="M5" s="1"/>
      <c r="N5" s="1"/>
      <c r="O5" s="1"/>
      <c r="P5" s="104"/>
    </row>
    <row r="6" spans="2:16" ht="15" customHeight="1">
      <c r="B6" s="105"/>
      <c r="C6" s="4" t="s">
        <v>7</v>
      </c>
      <c r="D6" s="37" t="s">
        <v>86</v>
      </c>
      <c r="E6" s="49" t="s">
        <v>87</v>
      </c>
      <c r="F6" s="51"/>
      <c r="G6" s="49" t="s">
        <v>68</v>
      </c>
      <c r="H6" s="37" t="s">
        <v>113</v>
      </c>
      <c r="I6" s="36"/>
      <c r="J6" s="36"/>
      <c r="K6" s="36"/>
      <c r="L6" s="36"/>
      <c r="M6" s="36"/>
      <c r="N6" s="36"/>
      <c r="O6" s="36"/>
      <c r="P6" s="104"/>
    </row>
    <row r="7" spans="2:16" ht="15" customHeight="1">
      <c r="B7" s="105"/>
      <c r="C7" s="14" t="s">
        <v>11</v>
      </c>
      <c r="D7" s="1">
        <v>42</v>
      </c>
      <c r="E7" s="86">
        <f aca="true" t="shared" si="0" ref="E7:E13">D7/SUM(D$7:D$13)</f>
        <v>0.07167235494880546</v>
      </c>
      <c r="F7" s="39"/>
      <c r="G7" s="25">
        <v>282.2</v>
      </c>
      <c r="H7" s="25">
        <v>333</v>
      </c>
      <c r="I7" s="1"/>
      <c r="J7" s="1"/>
      <c r="K7" s="1"/>
      <c r="L7" s="1"/>
      <c r="M7" s="1"/>
      <c r="N7" s="38" t="s">
        <v>88</v>
      </c>
      <c r="O7" s="54">
        <v>2.04</v>
      </c>
      <c r="P7" s="104"/>
    </row>
    <row r="8" spans="2:16" ht="15" customHeight="1">
      <c r="B8" s="105"/>
      <c r="C8" s="14" t="s">
        <v>12</v>
      </c>
      <c r="D8" s="1">
        <v>270</v>
      </c>
      <c r="E8" s="86">
        <f t="shared" si="0"/>
        <v>0.46075085324232085</v>
      </c>
      <c r="F8" s="39"/>
      <c r="G8" s="25">
        <v>239.64</v>
      </c>
      <c r="H8" s="25">
        <v>269.78</v>
      </c>
      <c r="I8" s="1"/>
      <c r="J8" s="1"/>
      <c r="K8" s="1"/>
      <c r="L8" s="1"/>
      <c r="M8" s="1"/>
      <c r="N8" s="1"/>
      <c r="O8" s="1"/>
      <c r="P8" s="104"/>
    </row>
    <row r="9" spans="2:16" ht="15" customHeight="1">
      <c r="B9" s="105"/>
      <c r="C9" s="14" t="s">
        <v>13</v>
      </c>
      <c r="D9" s="1">
        <v>31.5</v>
      </c>
      <c r="E9" s="86">
        <f t="shared" si="0"/>
        <v>0.0537542662116041</v>
      </c>
      <c r="F9" s="39"/>
      <c r="G9" s="25">
        <v>301.92</v>
      </c>
      <c r="H9" s="25">
        <v>324.86</v>
      </c>
      <c r="I9" s="1"/>
      <c r="J9" s="1"/>
      <c r="K9" s="1"/>
      <c r="L9" s="1"/>
      <c r="M9" s="1"/>
      <c r="N9" s="1"/>
      <c r="O9" s="1"/>
      <c r="P9" s="104"/>
    </row>
    <row r="10" spans="2:16" ht="15" customHeight="1">
      <c r="B10" s="105"/>
      <c r="C10" s="14" t="s">
        <v>14</v>
      </c>
      <c r="D10" s="1">
        <v>134</v>
      </c>
      <c r="E10" s="86">
        <f t="shared" si="0"/>
        <v>0.22866894197952217</v>
      </c>
      <c r="F10" s="39"/>
      <c r="G10" s="25">
        <v>351.39</v>
      </c>
      <c r="H10" s="25">
        <v>370.11</v>
      </c>
      <c r="I10" s="1"/>
      <c r="J10" s="1"/>
      <c r="K10" s="1"/>
      <c r="L10" s="1"/>
      <c r="M10" s="1"/>
      <c r="N10" s="1"/>
      <c r="O10" s="1"/>
      <c r="P10" s="104"/>
    </row>
    <row r="11" spans="2:16" ht="15" customHeight="1">
      <c r="B11" s="105"/>
      <c r="C11" s="14" t="s">
        <v>15</v>
      </c>
      <c r="D11" s="1">
        <v>10</v>
      </c>
      <c r="E11" s="86">
        <f t="shared" si="0"/>
        <v>0.017064846416382253</v>
      </c>
      <c r="F11" s="39"/>
      <c r="G11" s="25">
        <v>532.25</v>
      </c>
      <c r="H11" s="25">
        <v>533.41</v>
      </c>
      <c r="I11" s="1"/>
      <c r="J11" s="1"/>
      <c r="K11" s="1"/>
      <c r="L11" s="1"/>
      <c r="M11" s="1"/>
      <c r="N11" s="1"/>
      <c r="O11" s="1"/>
      <c r="P11" s="104"/>
    </row>
    <row r="12" spans="2:16" ht="15" customHeight="1">
      <c r="B12" s="105"/>
      <c r="C12" s="14" t="s">
        <v>16</v>
      </c>
      <c r="D12" s="1">
        <v>31.5</v>
      </c>
      <c r="E12" s="86">
        <f t="shared" si="0"/>
        <v>0.0537542662116041</v>
      </c>
      <c r="F12" s="39"/>
      <c r="G12" s="25">
        <v>27.77</v>
      </c>
      <c r="H12" s="25">
        <v>28.83</v>
      </c>
      <c r="I12" s="1"/>
      <c r="J12" s="1"/>
      <c r="K12" s="1"/>
      <c r="L12" s="1"/>
      <c r="M12" s="1"/>
      <c r="N12" s="1"/>
      <c r="O12" s="1"/>
      <c r="P12" s="104"/>
    </row>
    <row r="13" spans="2:16" ht="15" customHeight="1">
      <c r="B13" s="105"/>
      <c r="C13" s="14" t="s">
        <v>17</v>
      </c>
      <c r="D13" s="36">
        <v>67</v>
      </c>
      <c r="E13" s="87">
        <f t="shared" si="0"/>
        <v>0.11433447098976109</v>
      </c>
      <c r="F13" s="51"/>
      <c r="G13" s="150">
        <v>586.26</v>
      </c>
      <c r="H13" s="150">
        <v>609.09</v>
      </c>
      <c r="I13" s="36"/>
      <c r="J13" s="36"/>
      <c r="K13" s="36"/>
      <c r="L13" s="36"/>
      <c r="M13" s="36"/>
      <c r="N13" s="36"/>
      <c r="O13" s="36"/>
      <c r="P13" s="104"/>
    </row>
    <row r="14" spans="2:16" ht="15" customHeight="1">
      <c r="B14" s="105"/>
      <c r="C14" s="1"/>
      <c r="D14" s="1"/>
      <c r="E14" s="38"/>
      <c r="F14" s="39"/>
      <c r="G14" s="38"/>
      <c r="H14" s="38"/>
      <c r="I14" s="1"/>
      <c r="J14" s="1"/>
      <c r="K14" s="1"/>
      <c r="L14" s="1"/>
      <c r="M14" s="1"/>
      <c r="N14" s="1"/>
      <c r="O14" s="1"/>
      <c r="P14" s="104"/>
    </row>
    <row r="15" spans="2:16" ht="15" customHeight="1">
      <c r="B15" s="105"/>
      <c r="C15" s="1"/>
      <c r="D15" s="1"/>
      <c r="E15" s="38"/>
      <c r="F15" s="39"/>
      <c r="G15" s="38" t="s">
        <v>103</v>
      </c>
      <c r="H15" s="38" t="s">
        <v>21</v>
      </c>
      <c r="I15" s="1"/>
      <c r="J15" s="1"/>
      <c r="K15" s="1"/>
      <c r="L15" s="1"/>
      <c r="M15" s="1"/>
      <c r="N15" s="1"/>
      <c r="O15" s="1"/>
      <c r="P15" s="104"/>
    </row>
    <row r="16" spans="2:16" ht="15" customHeight="1">
      <c r="B16" s="105"/>
      <c r="C16" s="4" t="s">
        <v>89</v>
      </c>
      <c r="D16" s="36" t="s">
        <v>8</v>
      </c>
      <c r="E16" s="49" t="s">
        <v>105</v>
      </c>
      <c r="F16" s="51" t="s">
        <v>130</v>
      </c>
      <c r="G16" s="49" t="s">
        <v>114</v>
      </c>
      <c r="H16" s="49" t="s">
        <v>114</v>
      </c>
      <c r="I16" s="103" t="s">
        <v>104</v>
      </c>
      <c r="J16" s="36"/>
      <c r="K16" s="36"/>
      <c r="L16" s="36"/>
      <c r="M16" s="36"/>
      <c r="N16" s="36"/>
      <c r="O16" s="36"/>
      <c r="P16" s="104"/>
    </row>
    <row r="17" spans="2:16" ht="15" customHeight="1">
      <c r="B17" s="105"/>
      <c r="C17" s="14" t="s">
        <v>32</v>
      </c>
      <c r="D17" s="1" t="s">
        <v>25</v>
      </c>
      <c r="E17" s="38">
        <v>2159000</v>
      </c>
      <c r="F17" s="88">
        <f>E17/SUM(E$17:E$23)</f>
        <v>0.09134066777601085</v>
      </c>
      <c r="G17" s="38">
        <v>4877</v>
      </c>
      <c r="H17" s="38">
        <v>1721</v>
      </c>
      <c r="I17" s="80"/>
      <c r="J17" s="1"/>
      <c r="K17" s="1"/>
      <c r="L17" s="1"/>
      <c r="M17" s="1"/>
      <c r="N17" s="1"/>
      <c r="O17" s="1"/>
      <c r="P17" s="104"/>
    </row>
    <row r="18" spans="2:16" ht="15" customHeight="1">
      <c r="B18" s="105"/>
      <c r="C18" s="14" t="s">
        <v>80</v>
      </c>
      <c r="D18" s="1" t="s">
        <v>25</v>
      </c>
      <c r="E18" s="38">
        <v>10567360</v>
      </c>
      <c r="F18" s="88">
        <f aca="true" t="shared" si="1" ref="F18:F23">E18/SUM(E$17:E$23)</f>
        <v>0.44707258871213806</v>
      </c>
      <c r="G18" s="38">
        <v>6868</v>
      </c>
      <c r="H18" s="38">
        <v>2419</v>
      </c>
      <c r="I18" s="81"/>
      <c r="J18" s="1"/>
      <c r="K18" s="1"/>
      <c r="L18" s="1"/>
      <c r="M18" s="1"/>
      <c r="N18" s="1"/>
      <c r="O18" s="1"/>
      <c r="P18" s="104"/>
    </row>
    <row r="19" spans="2:16" ht="15" customHeight="1">
      <c r="B19" s="105"/>
      <c r="C19" s="14" t="s">
        <v>45</v>
      </c>
      <c r="D19" s="1" t="s">
        <v>25</v>
      </c>
      <c r="E19" s="38">
        <v>833253</v>
      </c>
      <c r="F19" s="88">
        <f t="shared" si="1"/>
        <v>0.03525237862267919</v>
      </c>
      <c r="G19" s="38">
        <v>7672</v>
      </c>
      <c r="H19" s="38">
        <v>4788</v>
      </c>
      <c r="I19" s="82"/>
      <c r="J19" s="1"/>
      <c r="K19" s="1"/>
      <c r="L19" s="1"/>
      <c r="M19" s="1"/>
      <c r="N19" s="1"/>
      <c r="O19" s="1"/>
      <c r="P19" s="104"/>
    </row>
    <row r="20" spans="2:16" ht="15" customHeight="1">
      <c r="B20" s="105"/>
      <c r="C20" s="14" t="s">
        <v>79</v>
      </c>
      <c r="D20" s="1" t="s">
        <v>25</v>
      </c>
      <c r="E20" s="38">
        <v>5548589</v>
      </c>
      <c r="F20" s="88">
        <f t="shared" si="1"/>
        <v>0.23474378160010573</v>
      </c>
      <c r="G20" s="38">
        <v>7554</v>
      </c>
      <c r="H20" s="38">
        <v>5264</v>
      </c>
      <c r="I20" s="82"/>
      <c r="J20" s="1"/>
      <c r="K20" s="1"/>
      <c r="L20" s="1"/>
      <c r="M20" s="1"/>
      <c r="N20" s="1"/>
      <c r="O20" s="1"/>
      <c r="P20" s="104"/>
    </row>
    <row r="21" spans="2:16" ht="15" customHeight="1">
      <c r="B21" s="105"/>
      <c r="C21" s="14" t="s">
        <v>78</v>
      </c>
      <c r="D21" s="1" t="s">
        <v>25</v>
      </c>
      <c r="E21" s="38">
        <v>3700025</v>
      </c>
      <c r="F21" s="88">
        <f t="shared" si="1"/>
        <v>0.1565367087947821</v>
      </c>
      <c r="G21" s="38">
        <v>13206</v>
      </c>
      <c r="H21" s="38">
        <v>4469</v>
      </c>
      <c r="I21" s="82"/>
      <c r="J21" s="1"/>
      <c r="K21" s="1"/>
      <c r="L21" s="1"/>
      <c r="M21" s="1"/>
      <c r="N21" s="1"/>
      <c r="O21" s="1"/>
      <c r="P21" s="104"/>
    </row>
    <row r="22" spans="2:16" ht="15" customHeight="1">
      <c r="B22" s="105"/>
      <c r="C22" s="14" t="s">
        <v>34</v>
      </c>
      <c r="D22" s="1" t="s">
        <v>25</v>
      </c>
      <c r="E22" s="38">
        <v>163041</v>
      </c>
      <c r="F22" s="88">
        <f t="shared" si="1"/>
        <v>0.0068977646201336664</v>
      </c>
      <c r="G22" s="38">
        <v>12264</v>
      </c>
      <c r="H22" s="38">
        <v>8082</v>
      </c>
      <c r="I22" s="82"/>
      <c r="J22" s="1"/>
      <c r="K22" s="1"/>
      <c r="L22" s="1"/>
      <c r="M22" s="1"/>
      <c r="N22" s="1"/>
      <c r="O22" s="1"/>
      <c r="P22" s="104"/>
    </row>
    <row r="23" spans="2:16" ht="15" customHeight="1">
      <c r="B23" s="105"/>
      <c r="C23" s="14" t="s">
        <v>33</v>
      </c>
      <c r="D23" s="1" t="s">
        <v>25</v>
      </c>
      <c r="E23" s="38">
        <v>665520</v>
      </c>
      <c r="F23" s="88">
        <f t="shared" si="1"/>
        <v>0.028156109874150414</v>
      </c>
      <c r="G23" s="38">
        <v>54520</v>
      </c>
      <c r="H23" s="38">
        <v>7859</v>
      </c>
      <c r="I23" s="83"/>
      <c r="J23" s="1"/>
      <c r="K23" s="1"/>
      <c r="L23" s="1"/>
      <c r="M23" s="1"/>
      <c r="N23" s="1"/>
      <c r="O23" s="1"/>
      <c r="P23" s="104"/>
    </row>
    <row r="24" spans="2:16" ht="15" customHeight="1">
      <c r="B24" s="105"/>
      <c r="C24" s="14" t="s">
        <v>29</v>
      </c>
      <c r="D24" s="76" t="s">
        <v>26</v>
      </c>
      <c r="E24" s="77">
        <v>683484</v>
      </c>
      <c r="F24" s="78" t="s">
        <v>2</v>
      </c>
      <c r="G24" s="77">
        <v>16636</v>
      </c>
      <c r="H24" s="79">
        <v>10278</v>
      </c>
      <c r="I24" s="89">
        <f>E24/SUM(E$17:E$23)</f>
        <v>0.02891611161381149</v>
      </c>
      <c r="J24" s="1"/>
      <c r="K24" s="1"/>
      <c r="L24" s="1"/>
      <c r="M24" s="1"/>
      <c r="N24" s="1"/>
      <c r="O24" s="1"/>
      <c r="P24" s="104"/>
    </row>
    <row r="25" spans="2:16" ht="15" customHeight="1">
      <c r="B25" s="105"/>
      <c r="C25" s="14" t="s">
        <v>30</v>
      </c>
      <c r="D25" s="48" t="s">
        <v>27</v>
      </c>
      <c r="E25" s="38">
        <v>14383821</v>
      </c>
      <c r="F25" s="40" t="s">
        <v>2</v>
      </c>
      <c r="G25" s="38">
        <v>1436</v>
      </c>
      <c r="H25" s="38">
        <v>254</v>
      </c>
      <c r="I25" s="90">
        <f>E25/SUM(E$17:E$23)</f>
        <v>0.6085353475269144</v>
      </c>
      <c r="J25" s="1"/>
      <c r="K25" s="1"/>
      <c r="L25" s="1"/>
      <c r="M25" s="1"/>
      <c r="N25" s="1"/>
      <c r="O25" s="1"/>
      <c r="P25" s="104"/>
    </row>
    <row r="26" spans="2:16" ht="15" customHeight="1">
      <c r="B26" s="105"/>
      <c r="C26" s="14" t="s">
        <v>81</v>
      </c>
      <c r="D26" s="52" t="s">
        <v>28</v>
      </c>
      <c r="E26" s="49">
        <v>4650000</v>
      </c>
      <c r="F26" s="50" t="s">
        <v>2</v>
      </c>
      <c r="G26" s="49">
        <v>2168</v>
      </c>
      <c r="H26" s="49">
        <v>1054</v>
      </c>
      <c r="I26" s="91">
        <f>E26/SUM(E$17:E$23)</f>
        <v>0.1967272372202179</v>
      </c>
      <c r="J26" s="36"/>
      <c r="K26" s="36"/>
      <c r="L26" s="36"/>
      <c r="M26" s="36"/>
      <c r="N26" s="36"/>
      <c r="O26" s="36"/>
      <c r="P26" s="104"/>
    </row>
    <row r="27" spans="2:16" ht="15" customHeight="1">
      <c r="B27" s="105"/>
      <c r="C27" s="120"/>
      <c r="D27" s="1"/>
      <c r="E27" s="38"/>
      <c r="F27" s="39"/>
      <c r="G27" s="38"/>
      <c r="H27" s="38"/>
      <c r="I27" s="1"/>
      <c r="J27" s="1"/>
      <c r="K27" s="1"/>
      <c r="L27" s="1"/>
      <c r="M27" s="1"/>
      <c r="N27" s="1"/>
      <c r="O27" s="1"/>
      <c r="P27" s="104"/>
    </row>
    <row r="28" spans="2:16" ht="15" customHeight="1">
      <c r="B28" s="105"/>
      <c r="C28" s="1"/>
      <c r="D28" s="1"/>
      <c r="E28" s="38"/>
      <c r="F28" s="39"/>
      <c r="G28" s="38"/>
      <c r="H28" s="38"/>
      <c r="I28" s="1"/>
      <c r="J28" s="1"/>
      <c r="K28" s="1"/>
      <c r="L28" s="1"/>
      <c r="M28" s="1"/>
      <c r="N28" s="1"/>
      <c r="O28" s="1"/>
      <c r="P28" s="104"/>
    </row>
    <row r="29" spans="2:16" ht="15" customHeight="1">
      <c r="B29" s="110"/>
      <c r="C29" s="1"/>
      <c r="D29" s="1"/>
      <c r="E29" s="38"/>
      <c r="F29" s="39"/>
      <c r="G29" s="38" t="s">
        <v>110</v>
      </c>
      <c r="H29" s="53"/>
      <c r="I29" s="53"/>
      <c r="J29" s="53"/>
      <c r="K29" s="190"/>
      <c r="L29" s="53"/>
      <c r="M29" s="53"/>
      <c r="N29" s="53"/>
      <c r="O29" s="38" t="s">
        <v>109</v>
      </c>
      <c r="P29" s="104"/>
    </row>
    <row r="30" spans="2:16" s="102" customFormat="1" ht="15" customHeight="1">
      <c r="B30" s="111"/>
      <c r="C30" s="4" t="s">
        <v>61</v>
      </c>
      <c r="D30" s="37" t="s">
        <v>54</v>
      </c>
      <c r="E30" s="49" t="s">
        <v>25</v>
      </c>
      <c r="F30" s="49" t="s">
        <v>68</v>
      </c>
      <c r="G30" s="37" t="s">
        <v>0</v>
      </c>
      <c r="H30" s="49" t="s">
        <v>15</v>
      </c>
      <c r="I30" s="37" t="s">
        <v>106</v>
      </c>
      <c r="J30" s="37" t="s">
        <v>20</v>
      </c>
      <c r="K30" s="37" t="s">
        <v>12</v>
      </c>
      <c r="L30" s="37" t="s">
        <v>107</v>
      </c>
      <c r="M30" s="37" t="s">
        <v>76</v>
      </c>
      <c r="N30" s="37" t="s">
        <v>108</v>
      </c>
      <c r="O30" s="37" t="s">
        <v>21</v>
      </c>
      <c r="P30" s="106"/>
    </row>
    <row r="31" spans="2:16" ht="15" customHeight="1">
      <c r="B31" s="112"/>
      <c r="C31" s="14" t="s">
        <v>35</v>
      </c>
      <c r="D31" s="41">
        <f aca="true" t="shared" si="2" ref="D31:D44">SUM(H31:O31)</f>
        <v>6421.517777777777</v>
      </c>
      <c r="E31" s="38">
        <v>24000</v>
      </c>
      <c r="F31" s="54">
        <f>SUMPRODUCT(H31:O31,H$45:O$45)/SUM(H31:O31)</f>
        <v>394.3217994097449</v>
      </c>
      <c r="G31" s="54">
        <f>SUMPRODUCT(H31:O31,H$46:O$46)/SUM(H31:O31)</f>
        <v>409.6030148086313</v>
      </c>
      <c r="H31" s="25">
        <v>0</v>
      </c>
      <c r="I31" s="25">
        <v>716.8663888888889</v>
      </c>
      <c r="J31" s="25">
        <v>926.6666666666666</v>
      </c>
      <c r="K31" s="25">
        <v>2354.149722222222</v>
      </c>
      <c r="L31" s="25">
        <v>47.94944444444444</v>
      </c>
      <c r="M31" s="25">
        <v>0</v>
      </c>
      <c r="N31" s="25">
        <v>15.607777777777779</v>
      </c>
      <c r="O31" s="25">
        <v>2360.277777777778</v>
      </c>
      <c r="P31" s="104"/>
    </row>
    <row r="32" spans="2:16" ht="15" customHeight="1">
      <c r="B32" s="112"/>
      <c r="C32" s="14" t="s">
        <v>36</v>
      </c>
      <c r="D32" s="41">
        <f t="shared" si="2"/>
        <v>55803.00777777779</v>
      </c>
      <c r="E32" s="38">
        <v>629000</v>
      </c>
      <c r="F32" s="54">
        <f aca="true" t="shared" si="3" ref="F32:F44">SUMPRODUCT(H32:O32,H$45:O$45)/SUM(H32:O32)</f>
        <v>350.13095528349845</v>
      </c>
      <c r="G32" s="54">
        <f aca="true" t="shared" si="4" ref="G32:G44">SUMPRODUCT(H32:O32,H$46:O$46)/SUM(H32:O32)</f>
        <v>366.1102269960975</v>
      </c>
      <c r="H32" s="25">
        <v>973.305</v>
      </c>
      <c r="I32" s="25">
        <v>1206.7933333333333</v>
      </c>
      <c r="J32" s="25">
        <v>5761.666666666667</v>
      </c>
      <c r="K32" s="25">
        <v>26911.090833333332</v>
      </c>
      <c r="L32" s="25">
        <v>754.6894444444445</v>
      </c>
      <c r="M32" s="25">
        <v>398.8922222222222</v>
      </c>
      <c r="N32" s="25">
        <v>1937.403611111111</v>
      </c>
      <c r="O32" s="25">
        <v>17859.166666666668</v>
      </c>
      <c r="P32" s="104"/>
    </row>
    <row r="33" spans="2:16" ht="15" customHeight="1">
      <c r="B33" s="112"/>
      <c r="C33" s="14" t="s">
        <v>37</v>
      </c>
      <c r="D33" s="41">
        <f t="shared" si="2"/>
        <v>64937.960277777776</v>
      </c>
      <c r="E33" s="38">
        <v>138000</v>
      </c>
      <c r="F33" s="54">
        <f t="shared" si="3"/>
        <v>326.43343674593433</v>
      </c>
      <c r="G33" s="54">
        <f t="shared" si="4"/>
        <v>339.1820176487039</v>
      </c>
      <c r="H33" s="25">
        <v>5187.564722222222</v>
      </c>
      <c r="I33" s="25">
        <v>1105.1994444444445</v>
      </c>
      <c r="J33" s="25">
        <v>1163.888888888889</v>
      </c>
      <c r="K33" s="25">
        <v>24077.678888888884</v>
      </c>
      <c r="L33" s="25">
        <v>7224.074722222222</v>
      </c>
      <c r="M33" s="25">
        <v>414.9525</v>
      </c>
      <c r="N33" s="25">
        <v>4825.7122222222215</v>
      </c>
      <c r="O33" s="25">
        <v>20938.888888888887</v>
      </c>
      <c r="P33" s="104"/>
    </row>
    <row r="34" spans="2:16" ht="15" customHeight="1">
      <c r="B34" s="112"/>
      <c r="C34" s="14" t="s">
        <v>38</v>
      </c>
      <c r="D34" s="41">
        <f t="shared" si="2"/>
        <v>106523.28</v>
      </c>
      <c r="E34" s="38">
        <v>156000</v>
      </c>
      <c r="F34" s="54">
        <f t="shared" si="3"/>
        <v>342.9770811413581</v>
      </c>
      <c r="G34" s="54">
        <f t="shared" si="4"/>
        <v>356.6334260654989</v>
      </c>
      <c r="H34" s="25">
        <v>1557.905</v>
      </c>
      <c r="I34" s="25">
        <v>1843.685</v>
      </c>
      <c r="J34" s="25">
        <v>4114.444444444444</v>
      </c>
      <c r="K34" s="25">
        <v>29288.29111111111</v>
      </c>
      <c r="L34" s="25">
        <v>5897.1563888888895</v>
      </c>
      <c r="M34" s="25">
        <v>7086.913333333333</v>
      </c>
      <c r="N34" s="25">
        <v>13543.218055555555</v>
      </c>
      <c r="O34" s="25">
        <v>43191.666666666664</v>
      </c>
      <c r="P34" s="104"/>
    </row>
    <row r="35" spans="2:16" ht="15" customHeight="1">
      <c r="B35" s="112"/>
      <c r="C35" s="14" t="s">
        <v>39</v>
      </c>
      <c r="D35" s="41">
        <f t="shared" si="2"/>
        <v>26020.481388888882</v>
      </c>
      <c r="E35" s="38">
        <v>285000</v>
      </c>
      <c r="F35" s="54">
        <f t="shared" si="3"/>
        <v>331.7773189066673</v>
      </c>
      <c r="G35" s="54">
        <f t="shared" si="4"/>
        <v>347.4167994380239</v>
      </c>
      <c r="H35" s="25">
        <v>281.865</v>
      </c>
      <c r="I35" s="25">
        <v>718.5194444444445</v>
      </c>
      <c r="J35" s="25">
        <v>2928.3333333333335</v>
      </c>
      <c r="K35" s="25">
        <v>8609.976388888883</v>
      </c>
      <c r="L35" s="25">
        <v>878.1613888888882</v>
      </c>
      <c r="M35" s="25">
        <v>135.9058333333332</v>
      </c>
      <c r="N35" s="25">
        <v>4867.72</v>
      </c>
      <c r="O35" s="25">
        <v>7600</v>
      </c>
      <c r="P35" s="104"/>
    </row>
    <row r="36" spans="2:16" ht="15" customHeight="1">
      <c r="B36" s="112"/>
      <c r="C36" s="14" t="s">
        <v>40</v>
      </c>
      <c r="D36" s="41">
        <f t="shared" si="2"/>
        <v>23377.849171379385</v>
      </c>
      <c r="E36" s="38">
        <v>356000</v>
      </c>
      <c r="F36" s="54">
        <f t="shared" si="3"/>
        <v>436.3996391689047</v>
      </c>
      <c r="G36" s="54">
        <f t="shared" si="4"/>
        <v>452.2134450280992</v>
      </c>
      <c r="H36" s="25">
        <v>0</v>
      </c>
      <c r="I36" s="25">
        <v>110.39</v>
      </c>
      <c r="J36" s="25">
        <v>1706.6666666666665</v>
      </c>
      <c r="K36" s="25">
        <v>5763.646671379386</v>
      </c>
      <c r="L36" s="25">
        <v>233.525</v>
      </c>
      <c r="M36" s="25">
        <v>146.21305555555554</v>
      </c>
      <c r="N36" s="25">
        <v>1267.4077777777777</v>
      </c>
      <c r="O36" s="25">
        <v>14150</v>
      </c>
      <c r="P36" s="104"/>
    </row>
    <row r="37" spans="2:16" ht="15" customHeight="1">
      <c r="B37" s="112"/>
      <c r="C37" s="14" t="s">
        <v>41</v>
      </c>
      <c r="D37" s="41">
        <f t="shared" si="2"/>
        <v>25135.14</v>
      </c>
      <c r="E37" s="38">
        <v>89000</v>
      </c>
      <c r="F37" s="54">
        <f t="shared" si="3"/>
        <v>301.14629025296415</v>
      </c>
      <c r="G37" s="54">
        <f t="shared" si="4"/>
        <v>318.0586810329196</v>
      </c>
      <c r="H37" s="25">
        <v>0</v>
      </c>
      <c r="I37" s="25">
        <v>0</v>
      </c>
      <c r="J37" s="25">
        <v>2516.9444444444443</v>
      </c>
      <c r="K37" s="25">
        <v>17226.796666666665</v>
      </c>
      <c r="L37" s="25">
        <v>169.16208333333336</v>
      </c>
      <c r="M37" s="25">
        <v>275.27125</v>
      </c>
      <c r="N37" s="25">
        <v>43.91</v>
      </c>
      <c r="O37" s="25">
        <v>4903.055555555556</v>
      </c>
      <c r="P37" s="104"/>
    </row>
    <row r="38" spans="2:16" ht="15" customHeight="1">
      <c r="B38" s="112"/>
      <c r="C38" s="14" t="s">
        <v>42</v>
      </c>
      <c r="D38" s="41">
        <f t="shared" si="2"/>
        <v>56547.58111425293</v>
      </c>
      <c r="E38" s="38">
        <v>107000</v>
      </c>
      <c r="F38" s="54">
        <f t="shared" si="3"/>
        <v>313.8821130501933</v>
      </c>
      <c r="G38" s="54">
        <f t="shared" si="4"/>
        <v>322.68162893851064</v>
      </c>
      <c r="H38" s="25">
        <v>6336.2733333333335</v>
      </c>
      <c r="I38" s="25">
        <v>12189.393333333333</v>
      </c>
      <c r="J38" s="25">
        <v>6429.166666666666</v>
      </c>
      <c r="K38" s="25">
        <v>12340.723336475146</v>
      </c>
      <c r="L38" s="25">
        <v>2011.9783333333337</v>
      </c>
      <c r="M38" s="25">
        <v>9251.215555555556</v>
      </c>
      <c r="N38" s="25">
        <v>102.99722222222222</v>
      </c>
      <c r="O38" s="25">
        <v>7885.833333333333</v>
      </c>
      <c r="P38" s="104"/>
    </row>
    <row r="39" spans="2:16" ht="15" customHeight="1">
      <c r="B39" s="112"/>
      <c r="C39" s="14" t="s">
        <v>46</v>
      </c>
      <c r="D39" s="41">
        <f t="shared" si="2"/>
        <v>151336.3702800469</v>
      </c>
      <c r="E39" s="38">
        <v>76000</v>
      </c>
      <c r="F39" s="54">
        <f t="shared" si="3"/>
        <v>358.490644599174</v>
      </c>
      <c r="G39" s="54">
        <f t="shared" si="4"/>
        <v>367.7851587333459</v>
      </c>
      <c r="H39" s="25">
        <v>70410.90666666668</v>
      </c>
      <c r="I39" s="25">
        <v>107.59277777777777</v>
      </c>
      <c r="J39" s="25">
        <v>4623.055555555556</v>
      </c>
      <c r="K39" s="25">
        <v>54514.254168935746</v>
      </c>
      <c r="L39" s="25">
        <v>17.203333333333333</v>
      </c>
      <c r="M39" s="25">
        <v>-0.12722222222224547</v>
      </c>
      <c r="N39" s="25">
        <v>77.37388888888889</v>
      </c>
      <c r="O39" s="25">
        <v>21586.11111111111</v>
      </c>
      <c r="P39" s="104"/>
    </row>
    <row r="40" spans="2:16" ht="15" customHeight="1">
      <c r="B40" s="112"/>
      <c r="C40" s="14" t="s">
        <v>47</v>
      </c>
      <c r="D40" s="41">
        <f t="shared" si="2"/>
        <v>38203.68111111112</v>
      </c>
      <c r="E40" s="38">
        <v>132000</v>
      </c>
      <c r="F40" s="54">
        <f t="shared" si="3"/>
        <v>439.42944828033296</v>
      </c>
      <c r="G40" s="54">
        <f t="shared" si="4"/>
        <v>454.4116541098003</v>
      </c>
      <c r="H40" s="25">
        <v>2798.666666666667</v>
      </c>
      <c r="I40" s="25">
        <v>130.24277777777777</v>
      </c>
      <c r="J40" s="25">
        <v>2575.8333333333335</v>
      </c>
      <c r="K40" s="25">
        <v>10876.834444444445</v>
      </c>
      <c r="L40" s="25">
        <v>0.736111111111111</v>
      </c>
      <c r="M40" s="25">
        <v>82.37833333333333</v>
      </c>
      <c r="N40" s="25">
        <v>157.32277777777776</v>
      </c>
      <c r="O40" s="25">
        <v>21581.666666666668</v>
      </c>
      <c r="P40" s="104"/>
    </row>
    <row r="41" spans="2:16" ht="15" customHeight="1">
      <c r="B41" s="112"/>
      <c r="C41" s="14" t="s">
        <v>77</v>
      </c>
      <c r="D41" s="41">
        <f t="shared" si="2"/>
        <v>31940.79583333333</v>
      </c>
      <c r="E41" s="38">
        <v>654000</v>
      </c>
      <c r="F41" s="54">
        <f t="shared" si="3"/>
        <v>390.02009316071883</v>
      </c>
      <c r="G41" s="54">
        <f t="shared" si="4"/>
        <v>406.26637831244466</v>
      </c>
      <c r="H41" s="25">
        <v>97.35388888888886</v>
      </c>
      <c r="I41" s="25">
        <v>0</v>
      </c>
      <c r="J41" s="25">
        <v>2205</v>
      </c>
      <c r="K41" s="25">
        <v>14214.36972222222</v>
      </c>
      <c r="L41" s="25">
        <v>226.92138888888888</v>
      </c>
      <c r="M41" s="25">
        <v>81.6925</v>
      </c>
      <c r="N41" s="25">
        <v>347.95833333333337</v>
      </c>
      <c r="O41" s="25">
        <v>14767.5</v>
      </c>
      <c r="P41" s="104"/>
    </row>
    <row r="42" spans="2:16" ht="15" customHeight="1">
      <c r="B42" s="112"/>
      <c r="C42" s="14" t="s">
        <v>48</v>
      </c>
      <c r="D42" s="41">
        <f t="shared" si="2"/>
        <v>24186.263888888887</v>
      </c>
      <c r="E42" s="38">
        <v>997000</v>
      </c>
      <c r="F42" s="54">
        <f t="shared" si="3"/>
        <v>403.83828048955706</v>
      </c>
      <c r="G42" s="54">
        <f t="shared" si="4"/>
        <v>420.516606668041</v>
      </c>
      <c r="H42" s="25">
        <v>31.833333333333332</v>
      </c>
      <c r="I42" s="25">
        <v>18.416666666666664</v>
      </c>
      <c r="J42" s="25">
        <v>3029.4444444444443</v>
      </c>
      <c r="K42" s="25">
        <v>7481.244999999999</v>
      </c>
      <c r="L42" s="25">
        <v>53.08402777777778</v>
      </c>
      <c r="M42" s="25">
        <v>0.06875</v>
      </c>
      <c r="N42" s="25">
        <v>1824.1161111111112</v>
      </c>
      <c r="O42" s="25">
        <v>11748.055555555555</v>
      </c>
      <c r="P42" s="104"/>
    </row>
    <row r="43" spans="2:16" ht="15" customHeight="1">
      <c r="B43" s="112"/>
      <c r="C43" s="14" t="s">
        <v>49</v>
      </c>
      <c r="D43" s="41">
        <f t="shared" si="2"/>
        <v>34490.95388888889</v>
      </c>
      <c r="E43" s="38">
        <v>976000</v>
      </c>
      <c r="F43" s="54">
        <f t="shared" si="3"/>
        <v>408.3268486679848</v>
      </c>
      <c r="G43" s="54">
        <f t="shared" si="4"/>
        <v>424.0493603265571</v>
      </c>
      <c r="H43" s="25">
        <v>302.4166666666667</v>
      </c>
      <c r="I43" s="25">
        <v>0</v>
      </c>
      <c r="J43" s="25">
        <v>866.9444444444445</v>
      </c>
      <c r="K43" s="25">
        <v>10682.146944444445</v>
      </c>
      <c r="L43" s="25">
        <v>39.172777777777775</v>
      </c>
      <c r="M43" s="25">
        <v>0.0658333333333333</v>
      </c>
      <c r="N43" s="25">
        <v>4097.151666666667</v>
      </c>
      <c r="O43" s="25">
        <v>18503.055555555555</v>
      </c>
      <c r="P43" s="104"/>
    </row>
    <row r="44" spans="2:16" ht="15" customHeight="1">
      <c r="B44" s="112"/>
      <c r="C44" s="14" t="s">
        <v>50</v>
      </c>
      <c r="D44" s="41">
        <f t="shared" si="2"/>
        <v>57453.70555555555</v>
      </c>
      <c r="E44" s="38">
        <v>1549000</v>
      </c>
      <c r="F44" s="54">
        <f t="shared" si="3"/>
        <v>346.5321838529659</v>
      </c>
      <c r="G44" s="54">
        <f t="shared" si="4"/>
        <v>359.9761830160167</v>
      </c>
      <c r="H44" s="25">
        <v>354.555</v>
      </c>
      <c r="I44" s="25">
        <v>51.94972222222221</v>
      </c>
      <c r="J44" s="25">
        <v>4217.5</v>
      </c>
      <c r="K44" s="25">
        <v>14247.227777777776</v>
      </c>
      <c r="L44" s="25">
        <v>9897.558611111106</v>
      </c>
      <c r="M44" s="25">
        <v>48.06388888888889</v>
      </c>
      <c r="N44" s="25">
        <v>3087.4061111111114</v>
      </c>
      <c r="O44" s="25">
        <v>25549.444444444445</v>
      </c>
      <c r="P44" s="104"/>
    </row>
    <row r="45" spans="2:16" ht="15" customHeight="1">
      <c r="B45" s="113"/>
      <c r="C45" s="1"/>
      <c r="D45" s="42"/>
      <c r="E45" s="42"/>
      <c r="F45" s="43"/>
      <c r="G45" s="42" t="s">
        <v>111</v>
      </c>
      <c r="H45" s="44">
        <f>0.85*I45</f>
        <v>397.5535</v>
      </c>
      <c r="I45" s="44">
        <v>467.71</v>
      </c>
      <c r="J45" s="45">
        <v>349.61</v>
      </c>
      <c r="K45" s="45">
        <v>226.7</v>
      </c>
      <c r="L45" s="45">
        <v>0</v>
      </c>
      <c r="M45" s="45">
        <v>0</v>
      </c>
      <c r="N45" s="45">
        <v>186.21</v>
      </c>
      <c r="O45" s="45">
        <v>566.16</v>
      </c>
      <c r="P45" s="104"/>
    </row>
    <row r="46" spans="2:16" ht="15" customHeight="1">
      <c r="B46" s="113"/>
      <c r="C46" s="1"/>
      <c r="D46" s="38"/>
      <c r="E46" s="38"/>
      <c r="F46" s="39"/>
      <c r="G46" s="38" t="s">
        <v>112</v>
      </c>
      <c r="H46" s="46">
        <f>0.85*I46</f>
        <v>398.29299999999995</v>
      </c>
      <c r="I46" s="46">
        <v>468.58</v>
      </c>
      <c r="J46" s="47">
        <v>373.68</v>
      </c>
      <c r="K46" s="47">
        <v>243.57</v>
      </c>
      <c r="L46" s="47">
        <v>0</v>
      </c>
      <c r="M46" s="47">
        <v>0</v>
      </c>
      <c r="N46" s="47">
        <v>202.01</v>
      </c>
      <c r="O46" s="47">
        <v>581.09</v>
      </c>
      <c r="P46" s="104"/>
    </row>
    <row r="47" spans="2:16" ht="15" customHeight="1">
      <c r="B47" s="113"/>
      <c r="C47" s="1"/>
      <c r="D47" s="38"/>
      <c r="E47" s="38"/>
      <c r="F47" s="39"/>
      <c r="G47" s="38"/>
      <c r="H47" s="46"/>
      <c r="I47" s="46"/>
      <c r="J47" s="47"/>
      <c r="K47" s="47"/>
      <c r="L47" s="47"/>
      <c r="M47" s="47"/>
      <c r="N47" s="47"/>
      <c r="O47" s="47"/>
      <c r="P47" s="104"/>
    </row>
    <row r="48" spans="2:16" ht="15" customHeight="1">
      <c r="B48" s="113"/>
      <c r="C48" s="1"/>
      <c r="D48" s="38" t="s">
        <v>122</v>
      </c>
      <c r="E48" s="38" t="s">
        <v>128</v>
      </c>
      <c r="F48" s="39"/>
      <c r="G48" s="38" t="s">
        <v>129</v>
      </c>
      <c r="H48" s="46"/>
      <c r="I48" s="46"/>
      <c r="J48" s="47"/>
      <c r="K48" s="47"/>
      <c r="L48" s="47"/>
      <c r="M48" s="47"/>
      <c r="N48" s="47"/>
      <c r="O48" s="47"/>
      <c r="P48" s="104"/>
    </row>
    <row r="49" spans="2:16" ht="15" customHeight="1">
      <c r="B49" s="113"/>
      <c r="C49" s="4" t="s">
        <v>62</v>
      </c>
      <c r="D49" s="49" t="s">
        <v>135</v>
      </c>
      <c r="E49" s="49" t="s">
        <v>123</v>
      </c>
      <c r="F49" s="49"/>
      <c r="G49" s="37" t="s">
        <v>136</v>
      </c>
      <c r="H49" s="192"/>
      <c r="I49" s="192"/>
      <c r="J49" s="193"/>
      <c r="K49" s="193"/>
      <c r="L49" s="193"/>
      <c r="M49" s="193"/>
      <c r="N49" s="193"/>
      <c r="O49" s="192" t="s">
        <v>162</v>
      </c>
      <c r="P49" s="104"/>
    </row>
    <row r="50" spans="2:16" s="210" customFormat="1" ht="15" customHeight="1">
      <c r="B50" s="205"/>
      <c r="C50" s="128" t="s">
        <v>121</v>
      </c>
      <c r="D50" s="206">
        <f>SUM(D51:D54)</f>
        <v>647</v>
      </c>
      <c r="E50" s="206">
        <f>SUM(E51:E54)</f>
        <v>845.8000000000001</v>
      </c>
      <c r="F50" s="211"/>
      <c r="G50" s="211"/>
      <c r="H50" s="207"/>
      <c r="I50" s="207"/>
      <c r="J50" s="208"/>
      <c r="K50" s="208"/>
      <c r="L50" s="208"/>
      <c r="M50" s="208"/>
      <c r="N50" s="208"/>
      <c r="O50" s="162">
        <v>82314906</v>
      </c>
      <c r="P50" s="209"/>
    </row>
    <row r="51" spans="2:16" ht="15" customHeight="1">
      <c r="B51" s="113"/>
      <c r="C51" s="191" t="s">
        <v>118</v>
      </c>
      <c r="D51" s="194">
        <v>64.7</v>
      </c>
      <c r="E51" s="194">
        <v>14</v>
      </c>
      <c r="F51" s="195"/>
      <c r="G51" s="196">
        <v>34.9</v>
      </c>
      <c r="H51" s="46"/>
      <c r="I51" s="46"/>
      <c r="J51" s="47"/>
      <c r="K51" s="47"/>
      <c r="L51" s="47"/>
      <c r="M51" s="47"/>
      <c r="N51" s="47"/>
      <c r="O51" s="47"/>
      <c r="P51" s="104"/>
    </row>
    <row r="52" spans="2:16" ht="15" customHeight="1">
      <c r="B52" s="113"/>
      <c r="C52" s="191" t="s">
        <v>119</v>
      </c>
      <c r="D52" s="194">
        <v>114.6</v>
      </c>
      <c r="E52" s="194">
        <v>43.5</v>
      </c>
      <c r="F52" s="195"/>
      <c r="G52" s="196">
        <v>30.9</v>
      </c>
      <c r="H52" s="46"/>
      <c r="I52" s="46"/>
      <c r="J52" s="47"/>
      <c r="K52" s="47"/>
      <c r="L52" s="47"/>
      <c r="M52" s="47"/>
      <c r="N52" s="47"/>
      <c r="O52" s="47"/>
      <c r="P52" s="104"/>
    </row>
    <row r="53" spans="2:16" ht="15" customHeight="1">
      <c r="B53" s="113"/>
      <c r="C53" s="191" t="s">
        <v>125</v>
      </c>
      <c r="D53" s="194">
        <v>1.2</v>
      </c>
      <c r="E53" s="194">
        <v>84.1</v>
      </c>
      <c r="F53" s="197"/>
      <c r="G53" s="198">
        <v>2038.6</v>
      </c>
      <c r="H53" s="46"/>
      <c r="I53" s="46"/>
      <c r="J53" s="47"/>
      <c r="K53" s="47"/>
      <c r="L53" s="47"/>
      <c r="M53" s="47"/>
      <c r="N53" s="47"/>
      <c r="O53" s="47"/>
      <c r="P53" s="104"/>
    </row>
    <row r="54" spans="2:16" ht="15" customHeight="1">
      <c r="B54" s="113"/>
      <c r="C54" s="191" t="s">
        <v>117</v>
      </c>
      <c r="D54" s="194">
        <v>466.5</v>
      </c>
      <c r="E54" s="194">
        <v>704.2</v>
      </c>
      <c r="F54" s="197"/>
      <c r="G54" s="198">
        <v>104.4</v>
      </c>
      <c r="H54" s="46"/>
      <c r="I54" s="46"/>
      <c r="J54" s="47"/>
      <c r="K54" s="47"/>
      <c r="L54" s="47"/>
      <c r="M54" s="47"/>
      <c r="N54" s="47"/>
      <c r="O54" s="47"/>
      <c r="P54" s="104"/>
    </row>
    <row r="55" spans="2:16" s="210" customFormat="1" ht="15" customHeight="1">
      <c r="B55" s="205"/>
      <c r="C55" s="128" t="s">
        <v>120</v>
      </c>
      <c r="D55" s="212">
        <f>SUM(D56:D61)</f>
        <v>1169.3</v>
      </c>
      <c r="E55" s="212">
        <f>SUM(E56:E61)</f>
        <v>2193.5</v>
      </c>
      <c r="F55" s="213"/>
      <c r="G55" s="214"/>
      <c r="H55" s="215"/>
      <c r="I55" s="215"/>
      <c r="J55" s="216"/>
      <c r="K55" s="216"/>
      <c r="L55" s="216"/>
      <c r="M55" s="216"/>
      <c r="N55" s="216"/>
      <c r="O55" s="216"/>
      <c r="P55" s="209"/>
    </row>
    <row r="56" spans="2:16" ht="15" customHeight="1">
      <c r="B56" s="113"/>
      <c r="C56" s="191" t="s">
        <v>126</v>
      </c>
      <c r="D56" s="194">
        <v>38.4</v>
      </c>
      <c r="E56" s="199">
        <v>0</v>
      </c>
      <c r="F56" s="197"/>
      <c r="G56" s="200">
        <v>0</v>
      </c>
      <c r="H56" s="46"/>
      <c r="I56" s="46"/>
      <c r="J56" s="47"/>
      <c r="K56" s="47"/>
      <c r="L56" s="47"/>
      <c r="M56" s="47"/>
      <c r="N56" s="47"/>
      <c r="O56" s="47"/>
      <c r="P56" s="104"/>
    </row>
    <row r="57" spans="2:16" ht="15" customHeight="1">
      <c r="B57" s="113"/>
      <c r="C57" s="191" t="s">
        <v>127</v>
      </c>
      <c r="D57" s="194">
        <v>30.3</v>
      </c>
      <c r="E57" s="199">
        <v>0</v>
      </c>
      <c r="F57" s="197"/>
      <c r="G57" s="200">
        <v>0</v>
      </c>
      <c r="H57" s="46"/>
      <c r="I57" s="46"/>
      <c r="J57" s="47"/>
      <c r="K57" s="47"/>
      <c r="L57" s="47"/>
      <c r="M57" s="47"/>
      <c r="N57" s="47"/>
      <c r="O57" s="47"/>
      <c r="P57" s="104"/>
    </row>
    <row r="58" spans="2:16" ht="15" customHeight="1">
      <c r="B58" s="113"/>
      <c r="C58" s="191" t="s">
        <v>132</v>
      </c>
      <c r="D58" s="194">
        <v>81.8</v>
      </c>
      <c r="E58" s="199">
        <v>44.6</v>
      </c>
      <c r="F58" s="197"/>
      <c r="G58" s="198">
        <f>AVERAGE(75,72)</f>
        <v>73.5</v>
      </c>
      <c r="H58" s="46"/>
      <c r="I58" s="46"/>
      <c r="J58" s="47"/>
      <c r="K58" s="47"/>
      <c r="L58" s="47"/>
      <c r="M58" s="47"/>
      <c r="N58" s="47"/>
      <c r="O58" s="47"/>
      <c r="P58" s="104"/>
    </row>
    <row r="59" spans="2:16" ht="15" customHeight="1">
      <c r="B59" s="113"/>
      <c r="C59" s="191" t="s">
        <v>124</v>
      </c>
      <c r="D59" s="194">
        <v>80.6</v>
      </c>
      <c r="E59" s="194">
        <v>111.8</v>
      </c>
      <c r="F59" s="197"/>
      <c r="G59" s="198">
        <f>AVERAGE(52,95)</f>
        <v>73.5</v>
      </c>
      <c r="H59" s="46"/>
      <c r="I59" s="46"/>
      <c r="J59" s="47"/>
      <c r="K59" s="47"/>
      <c r="L59" s="47"/>
      <c r="M59" s="47"/>
      <c r="N59" s="47"/>
      <c r="O59" s="47"/>
      <c r="P59" s="104"/>
    </row>
    <row r="60" spans="2:16" ht="15" customHeight="1">
      <c r="B60" s="113"/>
      <c r="C60" s="191" t="s">
        <v>125</v>
      </c>
      <c r="D60" s="194">
        <v>55.6</v>
      </c>
      <c r="E60" s="194">
        <v>324.1</v>
      </c>
      <c r="F60" s="197"/>
      <c r="G60" s="198">
        <v>369</v>
      </c>
      <c r="H60" s="46"/>
      <c r="I60" s="46"/>
      <c r="J60" s="47"/>
      <c r="K60" s="47"/>
      <c r="L60" s="47"/>
      <c r="M60" s="47"/>
      <c r="N60" s="47"/>
      <c r="O60" s="47"/>
      <c r="P60" s="104"/>
    </row>
    <row r="61" spans="2:16" ht="15" customHeight="1">
      <c r="B61" s="113"/>
      <c r="C61" s="191" t="s">
        <v>131</v>
      </c>
      <c r="D61" s="201">
        <v>882.6</v>
      </c>
      <c r="E61" s="201">
        <v>1713</v>
      </c>
      <c r="F61" s="202"/>
      <c r="G61" s="203">
        <v>144</v>
      </c>
      <c r="H61" s="192"/>
      <c r="I61" s="192"/>
      <c r="J61" s="193"/>
      <c r="K61" s="193"/>
      <c r="L61" s="193"/>
      <c r="M61" s="193"/>
      <c r="N61" s="193"/>
      <c r="O61" s="193"/>
      <c r="P61" s="104"/>
    </row>
    <row r="62" spans="2:16" ht="15" customHeight="1">
      <c r="B62" s="113"/>
      <c r="C62" s="1"/>
      <c r="D62" s="16"/>
      <c r="E62" s="16"/>
      <c r="F62" s="39"/>
      <c r="G62" s="38"/>
      <c r="H62" s="46"/>
      <c r="I62" s="46"/>
      <c r="J62" s="47"/>
      <c r="K62" s="47"/>
      <c r="L62" s="47"/>
      <c r="M62" s="47"/>
      <c r="N62" s="47"/>
      <c r="O62" s="47"/>
      <c r="P62" s="104"/>
    </row>
    <row r="63" spans="2:16" ht="15" customHeight="1">
      <c r="B63" s="113"/>
      <c r="C63" s="1"/>
      <c r="D63" s="38"/>
      <c r="E63" s="38"/>
      <c r="F63" s="39"/>
      <c r="G63" s="38"/>
      <c r="H63" s="46"/>
      <c r="I63" s="46"/>
      <c r="J63" s="47"/>
      <c r="K63" s="47"/>
      <c r="L63" s="47"/>
      <c r="M63" s="47"/>
      <c r="N63" s="47"/>
      <c r="O63" s="47"/>
      <c r="P63" s="104"/>
    </row>
    <row r="64" spans="2:16" ht="15" customHeight="1">
      <c r="B64" s="113"/>
      <c r="C64" s="1"/>
      <c r="D64" s="38"/>
      <c r="E64" s="38"/>
      <c r="F64" s="39"/>
      <c r="G64" s="38"/>
      <c r="H64" s="46"/>
      <c r="I64" s="46"/>
      <c r="J64" s="47"/>
      <c r="K64" s="47"/>
      <c r="L64" s="47"/>
      <c r="M64" s="47"/>
      <c r="N64" s="47"/>
      <c r="O64" s="47"/>
      <c r="P64" s="104"/>
    </row>
    <row r="65" spans="2:16" ht="15" customHeight="1">
      <c r="B65" s="113"/>
      <c r="C65" s="1"/>
      <c r="D65" s="38"/>
      <c r="E65" s="38"/>
      <c r="F65" s="39"/>
      <c r="G65" s="38"/>
      <c r="H65" s="46"/>
      <c r="I65" s="46"/>
      <c r="J65" s="47"/>
      <c r="K65" s="47"/>
      <c r="L65" s="47"/>
      <c r="M65" s="47"/>
      <c r="N65" s="47"/>
      <c r="O65" s="47"/>
      <c r="P65" s="104"/>
    </row>
    <row r="66" spans="2:16" ht="15" customHeight="1">
      <c r="B66" s="113"/>
      <c r="C66" s="1"/>
      <c r="D66" s="38"/>
      <c r="E66" s="38"/>
      <c r="F66" s="39"/>
      <c r="G66" s="38"/>
      <c r="H66" s="46"/>
      <c r="I66" s="46"/>
      <c r="J66" s="47"/>
      <c r="K66" s="47"/>
      <c r="L66" s="47"/>
      <c r="M66" s="47"/>
      <c r="N66" s="47"/>
      <c r="O66" s="47"/>
      <c r="P66" s="104"/>
    </row>
    <row r="67" spans="2:16" ht="15" customHeight="1">
      <c r="B67" s="113"/>
      <c r="C67" s="1"/>
      <c r="D67" s="38"/>
      <c r="E67" s="38"/>
      <c r="F67" s="39"/>
      <c r="G67" s="38"/>
      <c r="H67" s="46"/>
      <c r="I67" s="46"/>
      <c r="J67" s="47"/>
      <c r="K67" s="47"/>
      <c r="L67" s="47"/>
      <c r="M67" s="47"/>
      <c r="N67" s="47"/>
      <c r="O67" s="47"/>
      <c r="P67" s="104"/>
    </row>
    <row r="68" spans="2:16" ht="15" customHeight="1">
      <c r="B68" s="113"/>
      <c r="C68" s="1"/>
      <c r="D68" s="38"/>
      <c r="E68" s="38"/>
      <c r="F68" s="39"/>
      <c r="G68" s="38"/>
      <c r="H68" s="46"/>
      <c r="I68" s="46"/>
      <c r="J68" s="47"/>
      <c r="K68" s="47"/>
      <c r="L68" s="47"/>
      <c r="M68" s="47"/>
      <c r="N68" s="47"/>
      <c r="O68" s="47"/>
      <c r="P68" s="104"/>
    </row>
    <row r="69" spans="2:16" ht="15" customHeight="1">
      <c r="B69" s="113"/>
      <c r="C69" s="1"/>
      <c r="D69" s="38"/>
      <c r="E69" s="38"/>
      <c r="F69" s="39"/>
      <c r="G69" s="38"/>
      <c r="H69" s="46"/>
      <c r="I69" s="46"/>
      <c r="J69" s="47"/>
      <c r="K69" s="47"/>
      <c r="L69" s="47"/>
      <c r="M69" s="47"/>
      <c r="N69" s="47"/>
      <c r="O69" s="47"/>
      <c r="P69" s="104"/>
    </row>
    <row r="70" spans="2:16" ht="15" customHeight="1" thickBot="1">
      <c r="B70" s="114"/>
      <c r="C70" s="109"/>
      <c r="D70" s="107"/>
      <c r="E70" s="107"/>
      <c r="F70" s="60"/>
      <c r="G70" s="60"/>
      <c r="H70" s="60"/>
      <c r="I70" s="60"/>
      <c r="J70" s="60"/>
      <c r="K70" s="60"/>
      <c r="L70" s="60"/>
      <c r="M70" s="60"/>
      <c r="N70" s="60"/>
      <c r="O70" s="60"/>
      <c r="P70" s="108"/>
    </row>
    <row r="71" spans="3:8" ht="12.75">
      <c r="C71" s="101"/>
      <c r="D71" s="100"/>
      <c r="F71" s="99"/>
      <c r="G71" s="99"/>
      <c r="H71" s="99"/>
    </row>
    <row r="72" spans="3:8" ht="12.75">
      <c r="C72" s="101"/>
      <c r="D72" s="100"/>
      <c r="F72" s="99"/>
      <c r="G72" s="99"/>
      <c r="H72" s="99"/>
    </row>
    <row r="73" spans="3:8" ht="12.75">
      <c r="C73" s="101"/>
      <c r="D73" s="100"/>
      <c r="F73" s="99"/>
      <c r="G73" s="99"/>
      <c r="H73" s="99"/>
    </row>
    <row r="74" spans="3:8" ht="12.75">
      <c r="C74" s="101"/>
      <c r="D74" s="100"/>
      <c r="F74" s="99"/>
      <c r="G74" s="99"/>
      <c r="H74" s="99"/>
    </row>
    <row r="75" spans="3:8" ht="12.75">
      <c r="C75" s="101"/>
      <c r="D75" s="100"/>
      <c r="F75" s="99"/>
      <c r="G75" s="99"/>
      <c r="H75" s="99"/>
    </row>
    <row r="76" spans="3:8" ht="12.75">
      <c r="C76" s="101"/>
      <c r="D76" s="100"/>
      <c r="F76" s="99"/>
      <c r="G76" s="99"/>
      <c r="H76" s="99"/>
    </row>
    <row r="77" spans="3:8" ht="12.75">
      <c r="C77" s="101"/>
      <c r="D77" s="100"/>
      <c r="F77" s="99"/>
      <c r="G77" s="99"/>
      <c r="H77" s="99"/>
    </row>
    <row r="78" spans="3:8" ht="12.75">
      <c r="C78" s="101"/>
      <c r="D78" s="100"/>
      <c r="F78" s="99"/>
      <c r="G78" s="99"/>
      <c r="H78" s="99"/>
    </row>
    <row r="79" spans="3:8" ht="12.75">
      <c r="C79" s="101"/>
      <c r="D79" s="100"/>
      <c r="F79" s="99"/>
      <c r="G79" s="99"/>
      <c r="H79" s="99"/>
    </row>
    <row r="80" spans="3:8" ht="12.75">
      <c r="C80" s="101"/>
      <c r="D80" s="100"/>
      <c r="F80" s="99"/>
      <c r="G80" s="99"/>
      <c r="H80" s="99"/>
    </row>
    <row r="81" spans="3:8" ht="12.75">
      <c r="C81" s="101"/>
      <c r="D81" s="100"/>
      <c r="F81" s="99"/>
      <c r="G81" s="99"/>
      <c r="H81" s="99"/>
    </row>
    <row r="82" spans="3:8" ht="12.75">
      <c r="C82" s="101"/>
      <c r="D82" s="100"/>
      <c r="F82" s="99"/>
      <c r="G82" s="99"/>
      <c r="H82" s="99"/>
    </row>
    <row r="83" spans="3:8" ht="12.75">
      <c r="C83" s="101"/>
      <c r="D83" s="100"/>
      <c r="F83" s="99"/>
      <c r="G83" s="99"/>
      <c r="H83" s="99"/>
    </row>
    <row r="84" spans="3:8" ht="12.75">
      <c r="C84" s="101"/>
      <c r="D84" s="100"/>
      <c r="F84" s="99"/>
      <c r="G84" s="99"/>
      <c r="H84" s="99"/>
    </row>
    <row r="85" spans="3:8" ht="12.75">
      <c r="C85" s="101"/>
      <c r="D85" s="100"/>
      <c r="F85" s="99"/>
      <c r="G85" s="99"/>
      <c r="H85" s="99"/>
    </row>
    <row r="86" spans="3:8" ht="12.75">
      <c r="C86" s="101"/>
      <c r="D86" s="100"/>
      <c r="F86" s="99"/>
      <c r="G86" s="99"/>
      <c r="H86" s="99"/>
    </row>
    <row r="87" spans="3:8" ht="12.75">
      <c r="C87" s="101"/>
      <c r="D87" s="100"/>
      <c r="F87" s="99"/>
      <c r="G87" s="99"/>
      <c r="H87" s="99"/>
    </row>
    <row r="88" spans="3:8" ht="12.75">
      <c r="C88" s="101"/>
      <c r="D88" s="100"/>
      <c r="F88" s="99"/>
      <c r="G88" s="99"/>
      <c r="H88" s="99"/>
    </row>
    <row r="89" spans="3:8" ht="12.75">
      <c r="C89" s="101"/>
      <c r="D89" s="100"/>
      <c r="F89" s="99"/>
      <c r="G89" s="99"/>
      <c r="H89" s="99"/>
    </row>
    <row r="90" spans="3:8" ht="12.75">
      <c r="C90" s="101"/>
      <c r="D90" s="100"/>
      <c r="F90" s="99"/>
      <c r="G90" s="99"/>
      <c r="H90" s="99"/>
    </row>
    <row r="91" spans="3:8" ht="12.75">
      <c r="C91" s="101"/>
      <c r="D91" s="100"/>
      <c r="F91" s="99"/>
      <c r="G91" s="99"/>
      <c r="H91" s="99"/>
    </row>
    <row r="92" spans="3:8" ht="12.75">
      <c r="C92" s="101"/>
      <c r="D92" s="100"/>
      <c r="F92" s="99"/>
      <c r="G92" s="99"/>
      <c r="H92" s="99"/>
    </row>
    <row r="93" spans="3:8" ht="12.75">
      <c r="C93" s="101"/>
      <c r="D93" s="100"/>
      <c r="F93" s="99"/>
      <c r="G93" s="99"/>
      <c r="H93" s="99"/>
    </row>
    <row r="94" spans="3:8" ht="12.75">
      <c r="C94" s="101"/>
      <c r="D94" s="100"/>
      <c r="F94" s="99"/>
      <c r="G94" s="99"/>
      <c r="H94" s="99"/>
    </row>
    <row r="95" spans="3:8" ht="12.75">
      <c r="C95" s="101"/>
      <c r="D95" s="100"/>
      <c r="F95" s="99"/>
      <c r="G95" s="99"/>
      <c r="H95" s="99"/>
    </row>
    <row r="96" spans="3:8" ht="12.75">
      <c r="C96" s="101"/>
      <c r="D96" s="100"/>
      <c r="F96" s="99"/>
      <c r="G96" s="99"/>
      <c r="H96" s="99"/>
    </row>
    <row r="97" spans="3:8" ht="12.75">
      <c r="C97" s="101"/>
      <c r="D97" s="100"/>
      <c r="F97" s="99"/>
      <c r="G97" s="99"/>
      <c r="H97" s="99"/>
    </row>
  </sheetData>
  <sheetProtection/>
  <printOptions/>
  <pageMargins left="0.787401575" right="0.787401575" top="0.984251969" bottom="0.984251969" header="0.4921259845" footer="0.4921259845"/>
  <pageSetup fitToHeight="20" horizontalDpi="600" verticalDpi="600" orientation="landscape" paperSize="9" scale="66" r:id="rId3"/>
  <rowBreaks count="1" manualBreakCount="1">
    <brk id="47" min="2"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Johannes Dorfner</dc:creator>
  <cp:keywords/>
  <dc:description/>
  <cp:lastModifiedBy>Johannes Dorfner</cp:lastModifiedBy>
  <cp:lastPrinted>2011-09-07T09:32:26Z</cp:lastPrinted>
  <dcterms:created xsi:type="dcterms:W3CDTF">2010-11-04T15:57:07Z</dcterms:created>
  <dcterms:modified xsi:type="dcterms:W3CDTF">2011-09-07T09:35:43Z</dcterms:modified>
  <cp:category/>
  <cp:version/>
  <cp:contentType/>
  <cp:contentStatus/>
</cp:coreProperties>
</file>